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D:\Sales statistics\"/>
    </mc:Choice>
  </mc:AlternateContent>
  <xr:revisionPtr revIDLastSave="0" documentId="13_ncr:1_{0E58D88D-8669-4A64-A422-B9819616C2A9}" xr6:coauthVersionLast="47" xr6:coauthVersionMax="47" xr10:uidLastSave="{00000000-0000-0000-0000-000000000000}"/>
  <workbookProtection workbookAlgorithmName="SHA-512" workbookHashValue="lm6f4xcHNvHQflPYV//vMBUNlEi7dBwKR7L0SuIwRbdh0wNPKyzvzS+fp5Ip1eyz+BkdH6x3GvTtJK2k+fStpw==" workbookSaltValue="73vJVYVxcUA7QcVIv5lzyw==" workbookSpinCount="100000" lockStructure="1"/>
  <bookViews>
    <workbookView xWindow="-98" yWindow="-98" windowWidth="28996" windowHeight="15675" tabRatio="471" xr2:uid="{69FD1A6A-6981-460D-9CB2-A57033F75334}"/>
  </bookViews>
  <sheets>
    <sheet name="Order" sheetId="5" r:id="rId1"/>
    <sheet name="High-language applications" sheetId="6" r:id="rId2"/>
    <sheet name="Excel applications 1" sheetId="11" r:id="rId3"/>
    <sheet name="Excel applications 2" sheetId="9" r:id="rId4"/>
    <sheet name="T" sheetId="8" state="hidden" r:id="rId5"/>
  </sheets>
  <definedNames>
    <definedName name="_xlnm.Print_Area" localSheetId="2">'Excel applications 1'!$A$1:$I$73</definedName>
    <definedName name="_xlnm.Print_Area" localSheetId="3">'Excel applications 2'!$A$1:$I$73</definedName>
    <definedName name="_xlnm.Print_Area" localSheetId="1">'High-language applications'!$A$1:$I$73</definedName>
    <definedName name="_xlnm.Print_Area" localSheetId="0">Order!$A$1:$M$73</definedName>
  </definedNames>
  <calcPr calcId="191029" iterate="1" iterateCount="10"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D21" i="5" l="1"/>
  <c r="D20" i="5"/>
  <c r="B21" i="5" l="1"/>
  <c r="B20" i="5"/>
  <c r="C29" i="11"/>
  <c r="C30" i="11"/>
  <c r="K29" i="11"/>
  <c r="AQ29" i="5"/>
  <c r="AP29" i="5"/>
  <c r="AO29" i="5"/>
  <c r="D35" i="5"/>
  <c r="D34" i="5"/>
  <c r="AE1" i="5"/>
  <c r="AS19" i="5" s="1"/>
  <c r="AT19" i="5" s="1"/>
  <c r="G55" i="9"/>
  <c r="H51" i="9"/>
  <c r="H2" i="9"/>
  <c r="G53" i="11"/>
  <c r="H49" i="11"/>
  <c r="H2" i="11"/>
  <c r="G29" i="6"/>
  <c r="H25" i="6"/>
  <c r="H2" i="6"/>
  <c r="J37" i="5"/>
  <c r="J41" i="5"/>
  <c r="J39" i="5"/>
  <c r="J38" i="5"/>
  <c r="C36" i="5"/>
  <c r="C31" i="5"/>
  <c r="C6" i="6"/>
  <c r="C5" i="6"/>
  <c r="C4" i="6"/>
  <c r="B2" i="5"/>
  <c r="D12" i="5"/>
  <c r="N17" i="6"/>
  <c r="C40" i="11"/>
  <c r="A198" i="8"/>
  <c r="K40" i="11"/>
  <c r="AQ40" i="5"/>
  <c r="AP40" i="5"/>
  <c r="AO40" i="5"/>
  <c r="AL39" i="5" l="1"/>
  <c r="AM39" i="5" s="1"/>
  <c r="AL29" i="5"/>
  <c r="AM29" i="5" s="1"/>
  <c r="AN29" i="5" s="1"/>
  <c r="AL38" i="5"/>
  <c r="AM38" i="5" s="1"/>
  <c r="AL32" i="5"/>
  <c r="AM32" i="5" s="1"/>
  <c r="AL35" i="5"/>
  <c r="AM35" i="5" s="1"/>
  <c r="AL6" i="5"/>
  <c r="AM6" i="5" s="1"/>
  <c r="AL7" i="5"/>
  <c r="AM7" i="5" s="1"/>
  <c r="AL33" i="5"/>
  <c r="AM33" i="5" s="1"/>
  <c r="AL37" i="5"/>
  <c r="AM37" i="5" s="1"/>
  <c r="AL27" i="5"/>
  <c r="AM27" i="5" s="1"/>
  <c r="AN27" i="5" s="1"/>
  <c r="AS8" i="5"/>
  <c r="AT8" i="5" s="1"/>
  <c r="AS12" i="5"/>
  <c r="AT12" i="5" s="1"/>
  <c r="AS15" i="5"/>
  <c r="AT15" i="5" s="1"/>
  <c r="AS20" i="5"/>
  <c r="AT20" i="5" s="1"/>
  <c r="AS21" i="5"/>
  <c r="AT21" i="5" s="1"/>
  <c r="AS22" i="5"/>
  <c r="AT22" i="5" s="1"/>
  <c r="AE15" i="5"/>
  <c r="AF15" i="5" s="1"/>
  <c r="AS9" i="5"/>
  <c r="AT9" i="5" s="1"/>
  <c r="AS14" i="5"/>
  <c r="AT14" i="5" s="1"/>
  <c r="AS16" i="5"/>
  <c r="AT16" i="5" s="1"/>
  <c r="AE12" i="5"/>
  <c r="AF12" i="5" s="1"/>
  <c r="AE13" i="5"/>
  <c r="AF13" i="5" s="1"/>
  <c r="AE14" i="5"/>
  <c r="AF14" i="5" s="1"/>
  <c r="AE18" i="5"/>
  <c r="AF18" i="5" s="1"/>
  <c r="AS23" i="5"/>
  <c r="AT23" i="5" s="1"/>
  <c r="AE20" i="5"/>
  <c r="AF20" i="5" s="1"/>
  <c r="AE19" i="5"/>
  <c r="AF19" i="5" s="1"/>
  <c r="AE21" i="5"/>
  <c r="AF21" i="5" s="1"/>
  <c r="AE22" i="5"/>
  <c r="AF22" i="5" s="1"/>
  <c r="AL15" i="5"/>
  <c r="AM15" i="5" s="1"/>
  <c r="AE23" i="5"/>
  <c r="AF23" i="5" s="1"/>
  <c r="AE27" i="5"/>
  <c r="AS25" i="5"/>
  <c r="AT25" i="5" s="1"/>
  <c r="AL31" i="5"/>
  <c r="AM31" i="5" s="1"/>
  <c r="AL5" i="5"/>
  <c r="AM5" i="5" s="1"/>
  <c r="AS29" i="5"/>
  <c r="AT29" i="5" s="1"/>
  <c r="AL23" i="5"/>
  <c r="AM23" i="5" s="1"/>
  <c r="AL14" i="5"/>
  <c r="AM14" i="5" s="1"/>
  <c r="AS24" i="5"/>
  <c r="AT24" i="5" s="1"/>
  <c r="AL25" i="5"/>
  <c r="AM25" i="5" s="1"/>
  <c r="AL30" i="5"/>
  <c r="AM30" i="5" s="1"/>
  <c r="AS26" i="5"/>
  <c r="AT26" i="5" s="1"/>
  <c r="AS27" i="5"/>
  <c r="AT27" i="5" s="1"/>
  <c r="AS28" i="5"/>
  <c r="AT28" i="5" s="1"/>
  <c r="AL21" i="5"/>
  <c r="AM21" i="5" s="1"/>
  <c r="AL22" i="5"/>
  <c r="AM22" i="5" s="1"/>
  <c r="AL24" i="5"/>
  <c r="AM24" i="5" s="1"/>
  <c r="AL41" i="5"/>
  <c r="AM41" i="5" s="1"/>
  <c r="AE4" i="5"/>
  <c r="AF4" i="5" s="1"/>
  <c r="AL42" i="5"/>
  <c r="AM42" i="5" s="1"/>
  <c r="AL43" i="5"/>
  <c r="AM43" i="5" s="1"/>
  <c r="AS34" i="5"/>
  <c r="AT34" i="5" s="1"/>
  <c r="AL28" i="5"/>
  <c r="AM28" i="5" s="1"/>
  <c r="AN28" i="5" s="1"/>
  <c r="AL44" i="5"/>
  <c r="AM44" i="5" s="1"/>
  <c r="AS38" i="5"/>
  <c r="AT38" i="5" s="1"/>
  <c r="AS30" i="5"/>
  <c r="AT30" i="5" s="1"/>
  <c r="AS31" i="5"/>
  <c r="AT31" i="5" s="1"/>
  <c r="AS32" i="5"/>
  <c r="AT32" i="5" s="1"/>
  <c r="AL26" i="5"/>
  <c r="AM26" i="5" s="1"/>
  <c r="AN26" i="5" s="1"/>
  <c r="AS33" i="5"/>
  <c r="AT33" i="5" s="1"/>
  <c r="AS35" i="5"/>
  <c r="AT35" i="5" s="1"/>
  <c r="AL36" i="5"/>
  <c r="AM36" i="5" s="1"/>
  <c r="AS36" i="5"/>
  <c r="AT36" i="5" s="1"/>
  <c r="AL45" i="5"/>
  <c r="AM45" i="5" s="1"/>
  <c r="AS39" i="5"/>
  <c r="AT39" i="5" s="1"/>
  <c r="AL46" i="5"/>
  <c r="AM46" i="5" s="1"/>
  <c r="AL47" i="5"/>
  <c r="AM47" i="5" s="1"/>
  <c r="AE5" i="5"/>
  <c r="AF5" i="5" s="1"/>
  <c r="AE6" i="5"/>
  <c r="AF6" i="5" s="1"/>
  <c r="AL4" i="5"/>
  <c r="AM4" i="5" s="1"/>
  <c r="AL8" i="5"/>
  <c r="AM8" i="5" s="1"/>
  <c r="AL11" i="5"/>
  <c r="AM11" i="5" s="1"/>
  <c r="AL12" i="5"/>
  <c r="AM12" i="5" s="1"/>
  <c r="AL40" i="5"/>
  <c r="AM40" i="5" s="1"/>
  <c r="AN40" i="5" s="1"/>
  <c r="AS37" i="5"/>
  <c r="AT37" i="5" s="1"/>
  <c r="AL9" i="5"/>
  <c r="AM9" i="5" s="1"/>
  <c r="AL10" i="5"/>
  <c r="AM10" i="5" s="1"/>
  <c r="AL13" i="5"/>
  <c r="AM13" i="5" s="1"/>
  <c r="AS40" i="5"/>
  <c r="AT40" i="5" s="1"/>
  <c r="AS41" i="5"/>
  <c r="AT41" i="5" s="1"/>
  <c r="AL16" i="5"/>
  <c r="AM16" i="5" s="1"/>
  <c r="AL19" i="5"/>
  <c r="AM19" i="5" s="1"/>
  <c r="AE10" i="5"/>
  <c r="AF10" i="5" s="1"/>
  <c r="AL17" i="5"/>
  <c r="AM17" i="5" s="1"/>
  <c r="AL18" i="5"/>
  <c r="AM18" i="5" s="1"/>
  <c r="AE8" i="5"/>
  <c r="AF8" i="5" s="1"/>
  <c r="AL20" i="5"/>
  <c r="AM20" i="5" s="1"/>
  <c r="AE11" i="5"/>
  <c r="AF11" i="5" s="1"/>
  <c r="AS43" i="5"/>
  <c r="AT43" i="5" s="1"/>
  <c r="AS44" i="5"/>
  <c r="AT44" i="5" s="1"/>
  <c r="AE16" i="5"/>
  <c r="AF16" i="5" s="1"/>
  <c r="AS5" i="5"/>
  <c r="AT5" i="5" s="1"/>
  <c r="AL34" i="5"/>
  <c r="AM34" i="5" s="1"/>
  <c r="AE17" i="5"/>
  <c r="AF17" i="5" s="1"/>
  <c r="AS6" i="5"/>
  <c r="AT6" i="5" s="1"/>
  <c r="AS4" i="5"/>
  <c r="AT4" i="5" s="1"/>
  <c r="AS42" i="5"/>
  <c r="AT42" i="5" s="1"/>
  <c r="AL51" i="5"/>
  <c r="AS7" i="5"/>
  <c r="AT7" i="5" s="1"/>
  <c r="AS45" i="5"/>
  <c r="AT45" i="5" s="1"/>
  <c r="AS10" i="5"/>
  <c r="AT10" i="5" s="1"/>
  <c r="AS46" i="5"/>
  <c r="AT46" i="5" s="1"/>
  <c r="AE7" i="5"/>
  <c r="AF7" i="5" s="1"/>
  <c r="AS11" i="5"/>
  <c r="AT11" i="5" s="1"/>
  <c r="AS47" i="5"/>
  <c r="AT47" i="5" s="1"/>
  <c r="AS13" i="5"/>
  <c r="AT13" i="5" s="1"/>
  <c r="AS48" i="5"/>
  <c r="AT48" i="5" s="1"/>
  <c r="AS17" i="5"/>
  <c r="AT17" i="5" s="1"/>
  <c r="AS49" i="5"/>
  <c r="AT49" i="5" s="1"/>
  <c r="H40" i="11"/>
  <c r="AS18" i="5"/>
  <c r="AT18" i="5" s="1"/>
  <c r="AS53" i="5"/>
  <c r="AQ28" i="5"/>
  <c r="AP28" i="5"/>
  <c r="AO28" i="5"/>
  <c r="K28" i="11"/>
  <c r="AQ27" i="5"/>
  <c r="AP27" i="5"/>
  <c r="AO27" i="5"/>
  <c r="AQ26" i="5"/>
  <c r="AP26" i="5"/>
  <c r="AO26" i="5"/>
  <c r="K27" i="11"/>
  <c r="K26" i="11"/>
  <c r="AQ47" i="5"/>
  <c r="AP47" i="5"/>
  <c r="AO47" i="5"/>
  <c r="AQ46" i="5"/>
  <c r="AP46" i="5"/>
  <c r="AO46" i="5"/>
  <c r="AQ45" i="5"/>
  <c r="AP45" i="5"/>
  <c r="AO45" i="5"/>
  <c r="AQ44" i="5"/>
  <c r="AP44" i="5"/>
  <c r="AO44" i="5"/>
  <c r="AQ43" i="5"/>
  <c r="AP43" i="5"/>
  <c r="AO43" i="5"/>
  <c r="AQ42" i="5"/>
  <c r="AP42" i="5"/>
  <c r="AO42" i="5"/>
  <c r="AQ41" i="5"/>
  <c r="AP41" i="5"/>
  <c r="AO41" i="5"/>
  <c r="AQ39" i="5"/>
  <c r="AP39" i="5"/>
  <c r="AO39" i="5"/>
  <c r="AQ38" i="5"/>
  <c r="AP38" i="5"/>
  <c r="AO38" i="5"/>
  <c r="AQ37" i="5"/>
  <c r="AP37" i="5"/>
  <c r="AO37" i="5"/>
  <c r="AQ36" i="5"/>
  <c r="AP36" i="5"/>
  <c r="AO36" i="5"/>
  <c r="AQ35" i="5"/>
  <c r="AP35" i="5"/>
  <c r="AO35" i="5"/>
  <c r="AQ34" i="5"/>
  <c r="AP34" i="5"/>
  <c r="AO34" i="5"/>
  <c r="AQ33" i="5"/>
  <c r="AP33" i="5"/>
  <c r="AO33" i="5"/>
  <c r="AQ32" i="5"/>
  <c r="AP32" i="5"/>
  <c r="AO32" i="5"/>
  <c r="AQ31" i="5"/>
  <c r="AP31" i="5"/>
  <c r="AO31" i="5"/>
  <c r="AQ30" i="5"/>
  <c r="AP30" i="5"/>
  <c r="AO30" i="5"/>
  <c r="AQ25" i="5"/>
  <c r="AP25" i="5"/>
  <c r="AO25" i="5"/>
  <c r="AQ24" i="5"/>
  <c r="AP24" i="5"/>
  <c r="AO24" i="5"/>
  <c r="AQ23" i="5"/>
  <c r="AP23" i="5"/>
  <c r="AO23" i="5"/>
  <c r="AQ22" i="5"/>
  <c r="AP22" i="5"/>
  <c r="AO22" i="5"/>
  <c r="AQ21" i="5"/>
  <c r="AP21" i="5"/>
  <c r="AO21" i="5"/>
  <c r="AQ20" i="5"/>
  <c r="AP20" i="5"/>
  <c r="AO20" i="5"/>
  <c r="AQ19" i="5"/>
  <c r="AP19" i="5"/>
  <c r="AO19" i="5"/>
  <c r="AQ18" i="5"/>
  <c r="AP18" i="5"/>
  <c r="AO18" i="5"/>
  <c r="AQ17" i="5"/>
  <c r="AP17" i="5"/>
  <c r="AO17" i="5"/>
  <c r="AQ16" i="5"/>
  <c r="AP16" i="5"/>
  <c r="AO16" i="5"/>
  <c r="AQ15" i="5"/>
  <c r="AP15" i="5"/>
  <c r="AO15" i="5"/>
  <c r="AQ14" i="5"/>
  <c r="AP14" i="5"/>
  <c r="AO14" i="5"/>
  <c r="AQ13" i="5"/>
  <c r="AP13" i="5"/>
  <c r="AO13" i="5"/>
  <c r="AQ12" i="5"/>
  <c r="AP12" i="5"/>
  <c r="AO12" i="5"/>
  <c r="AQ11" i="5"/>
  <c r="AP11" i="5"/>
  <c r="AO11" i="5"/>
  <c r="AQ10" i="5"/>
  <c r="AP10" i="5"/>
  <c r="AO10" i="5"/>
  <c r="AQ9" i="5"/>
  <c r="AP9" i="5"/>
  <c r="AO9" i="5"/>
  <c r="AQ8" i="5"/>
  <c r="AP8" i="5"/>
  <c r="AO8" i="5"/>
  <c r="AQ7" i="5"/>
  <c r="AP7" i="5"/>
  <c r="AO7" i="5"/>
  <c r="AQ6" i="5"/>
  <c r="AP6" i="5"/>
  <c r="AO6" i="5"/>
  <c r="AQ5" i="5"/>
  <c r="AP5" i="5"/>
  <c r="AO5" i="5"/>
  <c r="AQ4" i="5"/>
  <c r="AP4" i="5"/>
  <c r="H29" i="11" l="1"/>
  <c r="H28" i="11"/>
  <c r="H27" i="11"/>
  <c r="H26" i="11"/>
  <c r="AN6" i="5"/>
  <c r="AO4" i="5"/>
  <c r="AN4" i="5"/>
  <c r="K6" i="11"/>
  <c r="K4" i="11"/>
  <c r="K47" i="11"/>
  <c r="K46" i="11"/>
  <c r="K45" i="11"/>
  <c r="K44" i="11"/>
  <c r="K43" i="11"/>
  <c r="K42" i="11"/>
  <c r="K41" i="11"/>
  <c r="K39" i="11"/>
  <c r="K38" i="11"/>
  <c r="K37" i="11"/>
  <c r="K36" i="11"/>
  <c r="K35" i="11"/>
  <c r="K34" i="11"/>
  <c r="K33" i="11"/>
  <c r="K32" i="11"/>
  <c r="K31" i="11"/>
  <c r="K30" i="11"/>
  <c r="K24" i="11"/>
  <c r="K23" i="11"/>
  <c r="K22" i="11"/>
  <c r="K15" i="11"/>
  <c r="K14" i="11"/>
  <c r="K13" i="11"/>
  <c r="K12" i="11"/>
  <c r="K21" i="11"/>
  <c r="K20" i="11"/>
  <c r="K19" i="11"/>
  <c r="K18" i="11"/>
  <c r="K17" i="11"/>
  <c r="K16" i="11"/>
  <c r="K25" i="11"/>
  <c r="K11" i="11"/>
  <c r="K10" i="11"/>
  <c r="K9" i="11"/>
  <c r="K8" i="11"/>
  <c r="K7" i="11"/>
  <c r="K5" i="11"/>
  <c r="H27" i="6"/>
  <c r="H4" i="11" l="1"/>
  <c r="H6" i="11"/>
  <c r="A3" i="8"/>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2" i="8" s="1"/>
  <c r="A623" i="8" s="1"/>
  <c r="A624" i="8" s="1"/>
  <c r="A625" i="8" s="1"/>
  <c r="A626" i="8" s="1"/>
  <c r="A627" i="8" s="1"/>
  <c r="A628" i="8" s="1"/>
  <c r="A629" i="8" s="1"/>
  <c r="A630" i="8" s="1"/>
  <c r="A631" i="8" s="1"/>
  <c r="A632" i="8" s="1"/>
  <c r="A633" i="8" s="1"/>
  <c r="A634" i="8" s="1"/>
  <c r="A635" i="8" s="1"/>
  <c r="A636" i="8" s="1"/>
  <c r="A637" i="8" s="1"/>
  <c r="A638" i="8" s="1"/>
  <c r="A639" i="8" s="1"/>
  <c r="A640" i="8" s="1"/>
  <c r="A641" i="8" s="1"/>
  <c r="A642" i="8" s="1"/>
  <c r="A643" i="8" s="1"/>
  <c r="A644" i="8" s="1"/>
  <c r="A645" i="8" s="1"/>
  <c r="A646" i="8" s="1"/>
  <c r="A647" i="8" s="1"/>
  <c r="A648" i="8" s="1"/>
  <c r="A649" i="8" s="1"/>
  <c r="A650" i="8" s="1"/>
  <c r="A651" i="8" s="1"/>
  <c r="A652" i="8" s="1"/>
  <c r="A653" i="8" s="1"/>
  <c r="A654" i="8" s="1"/>
  <c r="A655" i="8" s="1"/>
  <c r="A656" i="8" s="1"/>
  <c r="A657" i="8" s="1"/>
  <c r="A658" i="8" s="1"/>
  <c r="A659" i="8" s="1"/>
  <c r="A660" i="8" s="1"/>
  <c r="A661" i="8" s="1"/>
  <c r="A662" i="8" s="1"/>
  <c r="A663" i="8" s="1"/>
  <c r="A664" i="8" s="1"/>
  <c r="A665" i="8" s="1"/>
  <c r="A666" i="8" s="1"/>
  <c r="A667" i="8" s="1"/>
  <c r="A668" i="8" s="1"/>
  <c r="A669" i="8" s="1"/>
  <c r="A670" i="8" s="1"/>
  <c r="A671" i="8" s="1"/>
  <c r="A672" i="8" s="1"/>
  <c r="A673" i="8" s="1"/>
  <c r="A674" i="8" s="1"/>
  <c r="A675" i="8" s="1"/>
  <c r="A676" i="8" s="1"/>
  <c r="A677" i="8" s="1"/>
  <c r="A678" i="8" s="1"/>
  <c r="A679" i="8" s="1"/>
  <c r="A680" i="8" s="1"/>
  <c r="A681" i="8" s="1"/>
  <c r="A682" i="8" s="1"/>
  <c r="A683" i="8" s="1"/>
  <c r="A684" i="8" s="1"/>
  <c r="A685" i="8" s="1"/>
  <c r="A686" i="8" s="1"/>
  <c r="A687" i="8" s="1"/>
  <c r="A688" i="8" s="1"/>
  <c r="A689" i="8" s="1"/>
  <c r="A690" i="8" s="1"/>
  <c r="A691" i="8" s="1"/>
  <c r="A692" i="8" s="1"/>
  <c r="A693" i="8" s="1"/>
  <c r="A694" i="8" s="1"/>
  <c r="A695" i="8" s="1"/>
  <c r="A696" i="8" s="1"/>
  <c r="A697" i="8" s="1"/>
  <c r="A698" i="8" s="1"/>
  <c r="A699" i="8" s="1"/>
  <c r="A700" i="8" s="1"/>
  <c r="A701" i="8" s="1"/>
  <c r="A702" i="8" s="1"/>
  <c r="A703" i="8" s="1"/>
  <c r="A704" i="8" s="1"/>
  <c r="A705" i="8" s="1"/>
  <c r="A706" i="8" s="1"/>
  <c r="A707" i="8" s="1"/>
  <c r="A708" i="8" s="1"/>
  <c r="A709" i="8" s="1"/>
  <c r="A710" i="8" s="1"/>
  <c r="A711" i="8" s="1"/>
  <c r="A712" i="8" s="1"/>
  <c r="A713" i="8" s="1"/>
  <c r="A714" i="8" s="1"/>
  <c r="A715"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7"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4" i="8" s="1"/>
  <c r="A765" i="8" s="1"/>
  <c r="A766" i="8" s="1"/>
  <c r="A767" i="8" s="1"/>
  <c r="A768" i="8" s="1"/>
  <c r="A769" i="8" s="1"/>
  <c r="A770" i="8" s="1"/>
  <c r="A771" i="8" s="1"/>
  <c r="A772" i="8" s="1"/>
  <c r="A773" i="8" s="1"/>
  <c r="A774" i="8" s="1"/>
  <c r="A775" i="8" s="1"/>
  <c r="A776" i="8" s="1"/>
  <c r="A777"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850" i="8" s="1"/>
  <c r="A851" i="8" s="1"/>
  <c r="A852" i="8" s="1"/>
  <c r="A853" i="8" s="1"/>
  <c r="A854" i="8" s="1"/>
  <c r="A855" i="8" s="1"/>
  <c r="A856" i="8" s="1"/>
  <c r="A857" i="8" s="1"/>
  <c r="A858" i="8" s="1"/>
  <c r="A859" i="8" s="1"/>
  <c r="A860" i="8" s="1"/>
  <c r="A861" i="8" s="1"/>
  <c r="A862" i="8" s="1"/>
  <c r="A863" i="8" s="1"/>
  <c r="A864" i="8" s="1"/>
  <c r="A865" i="8" s="1"/>
  <c r="A866" i="8" s="1"/>
  <c r="A867" i="8" s="1"/>
  <c r="A868" i="8" s="1"/>
  <c r="A869" i="8" s="1"/>
  <c r="A870" i="8" s="1"/>
  <c r="A871" i="8" s="1"/>
  <c r="A872" i="8" s="1"/>
  <c r="A873" i="8" s="1"/>
  <c r="A874" i="8" s="1"/>
  <c r="A875" i="8" s="1"/>
  <c r="A876" i="8" s="1"/>
  <c r="A877" i="8" s="1"/>
  <c r="A878" i="8" s="1"/>
  <c r="A879" i="8" s="1"/>
  <c r="A880" i="8" s="1"/>
  <c r="A881" i="8" s="1"/>
  <c r="A882" i="8" s="1"/>
  <c r="A883" i="8" s="1"/>
  <c r="A884" i="8" s="1"/>
  <c r="A885" i="8" s="1"/>
  <c r="A886" i="8" s="1"/>
  <c r="A887" i="8" s="1"/>
  <c r="A888" i="8" s="1"/>
  <c r="A889" i="8" s="1"/>
  <c r="A890" i="8" s="1"/>
  <c r="A891" i="8" s="1"/>
  <c r="A892" i="8" s="1"/>
  <c r="A893" i="8" s="1"/>
  <c r="A894" i="8" s="1"/>
  <c r="A895" i="8" s="1"/>
  <c r="A896" i="8" s="1"/>
  <c r="A897" i="8" s="1"/>
  <c r="A898" i="8" s="1"/>
  <c r="A899" i="8" s="1"/>
  <c r="A900" i="8" s="1"/>
  <c r="A901" i="8" s="1"/>
  <c r="A902" i="8" s="1"/>
  <c r="A903" i="8" s="1"/>
  <c r="A904" i="8" s="1"/>
  <c r="A905"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4" i="8" s="1"/>
  <c r="A935" i="8" s="1"/>
  <c r="A936" i="8" s="1"/>
  <c r="A937" i="8" s="1"/>
  <c r="A938" i="8" s="1"/>
  <c r="A939" i="8" s="1"/>
  <c r="A940" i="8" s="1"/>
  <c r="A941" i="8" s="1"/>
  <c r="A942" i="8" s="1"/>
  <c r="A943" i="8" s="1"/>
  <c r="A944" i="8" s="1"/>
  <c r="A945" i="8" s="1"/>
  <c r="A946" i="8" s="1"/>
  <c r="A947" i="8" s="1"/>
  <c r="A948" i="8" s="1"/>
  <c r="A949" i="8" s="1"/>
  <c r="A950" i="8" s="1"/>
  <c r="A951" i="8" s="1"/>
  <c r="A952" i="8" s="1"/>
  <c r="A953" i="8" s="1"/>
  <c r="A954" i="8" s="1"/>
  <c r="A955" i="8" s="1"/>
  <c r="A956" i="8" s="1"/>
  <c r="A957" i="8" s="1"/>
  <c r="A958" i="8" s="1"/>
  <c r="A959" i="8" s="1"/>
  <c r="A960" i="8" s="1"/>
  <c r="A961" i="8" s="1"/>
  <c r="A962" i="8" s="1"/>
  <c r="A963" i="8" s="1"/>
  <c r="A964" i="8" s="1"/>
  <c r="A965" i="8" s="1"/>
  <c r="A966" i="8" s="1"/>
  <c r="A967"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 r="A994" i="8" s="1"/>
  <c r="A995" i="8" s="1"/>
  <c r="A996" i="8" s="1"/>
  <c r="A997" i="8" s="1"/>
  <c r="A998" i="8" s="1"/>
  <c r="A999" i="8" s="1"/>
  <c r="A1000" i="8" s="1"/>
  <c r="A1001" i="8" s="1"/>
  <c r="D13" i="5" l="1"/>
  <c r="B24" i="5"/>
  <c r="B12" i="5"/>
  <c r="B25" i="6"/>
  <c r="C39" i="11"/>
  <c r="D24" i="5"/>
  <c r="B44" i="6"/>
  <c r="B13" i="5"/>
  <c r="C28" i="11"/>
  <c r="C27" i="11"/>
  <c r="AD80" i="11" s="1"/>
  <c r="C25" i="11"/>
  <c r="C26" i="11"/>
  <c r="Y80" i="11" s="1"/>
  <c r="AJ80" i="11"/>
  <c r="T77" i="11"/>
  <c r="A1002" i="8"/>
  <c r="A1003" i="8" s="1"/>
  <c r="A1004" i="8" s="1"/>
  <c r="A1005" i="8" s="1"/>
  <c r="A1006" i="8" s="1"/>
  <c r="A1007" i="8" s="1"/>
  <c r="A1008" i="8" s="1"/>
  <c r="A1009" i="8" s="1"/>
  <c r="A1010" i="8" s="1"/>
  <c r="A1011" i="8" s="1"/>
  <c r="A1012" i="8" s="1"/>
  <c r="A1013" i="8" s="1"/>
  <c r="A1014" i="8" s="1"/>
  <c r="A1015" i="8" s="1"/>
  <c r="A1016" i="8" s="1"/>
  <c r="A1017" i="8" s="1"/>
  <c r="A1018" i="8" s="1"/>
  <c r="A1019" i="8" s="1"/>
  <c r="A1020" i="8" s="1"/>
  <c r="A1021" i="8" s="1"/>
  <c r="A1022" i="8" s="1"/>
  <c r="A1023" i="8" s="1"/>
  <c r="A1024" i="8" s="1"/>
  <c r="A1025" i="8" s="1"/>
  <c r="A1026" i="8" s="1"/>
  <c r="A1027" i="8" s="1"/>
  <c r="A1028" i="8" s="1"/>
  <c r="A1029" i="8" s="1"/>
  <c r="A1030" i="8" s="1"/>
  <c r="A1031" i="8" s="1"/>
  <c r="A1032" i="8" s="1"/>
  <c r="A1033" i="8" s="1"/>
  <c r="A1034" i="8" s="1"/>
  <c r="A1035" i="8" s="1"/>
  <c r="A1036" i="8" s="1"/>
  <c r="A1037" i="8" s="1"/>
  <c r="A1038" i="8" s="1"/>
  <c r="A1039" i="8" s="1"/>
  <c r="A1040" i="8" s="1"/>
  <c r="A1041" i="8" s="1"/>
  <c r="A1042" i="8" s="1"/>
  <c r="A1043" i="8" s="1"/>
  <c r="A1044" i="8" s="1"/>
  <c r="A1045" i="8" s="1"/>
  <c r="A1046" i="8" s="1"/>
  <c r="A1047" i="8" s="1"/>
  <c r="A1048" i="8" s="1"/>
  <c r="A1049" i="8" s="1"/>
  <c r="A1050" i="8" s="1"/>
  <c r="A1051" i="8" s="1"/>
  <c r="A1052" i="8" s="1"/>
  <c r="A1053" i="8" s="1"/>
  <c r="A1054" i="8" s="1"/>
  <c r="A1055" i="8" s="1"/>
  <c r="A1056" i="8" s="1"/>
  <c r="A1057" i="8" s="1"/>
  <c r="A1058" i="8" s="1"/>
  <c r="A1059" i="8" s="1"/>
  <c r="A1060" i="8" s="1"/>
  <c r="A1061" i="8" s="1"/>
  <c r="A1062" i="8" s="1"/>
  <c r="A1063" i="8" s="1"/>
  <c r="A1064" i="8" s="1"/>
  <c r="A1065" i="8" s="1"/>
  <c r="A1066" i="8" s="1"/>
  <c r="A1067" i="8" s="1"/>
  <c r="A1068" i="8" s="1"/>
  <c r="A1069" i="8" s="1"/>
  <c r="A1070" i="8" s="1"/>
  <c r="A1071" i="8" s="1"/>
  <c r="A1072" i="8" s="1"/>
  <c r="A1073" i="8" s="1"/>
  <c r="A1074" i="8" s="1"/>
  <c r="A1075" i="8" s="1"/>
  <c r="A1076" i="8" s="1"/>
  <c r="A1077" i="8" s="1"/>
  <c r="A1078" i="8" s="1"/>
  <c r="A1079" i="8" s="1"/>
  <c r="A1080" i="8" s="1"/>
  <c r="A1081" i="8" s="1"/>
  <c r="A1082" i="8" s="1"/>
  <c r="A1083" i="8" s="1"/>
  <c r="A1084" i="8" s="1"/>
  <c r="A1085" i="8" s="1"/>
  <c r="A1086" i="8" s="1"/>
  <c r="A1087" i="8" s="1"/>
  <c r="A1088" i="8" s="1"/>
  <c r="A1089" i="8" s="1"/>
  <c r="A1090" i="8" s="1"/>
  <c r="A1091" i="8" s="1"/>
  <c r="A1092" i="8" s="1"/>
  <c r="A1093" i="8" s="1"/>
  <c r="A1094" i="8" s="1"/>
  <c r="A1095"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6" i="8" s="1"/>
  <c r="A1137" i="8" s="1"/>
  <c r="A1138" i="8" s="1"/>
  <c r="A1139" i="8" s="1"/>
  <c r="A1140" i="8" s="1"/>
  <c r="A1141" i="8" s="1"/>
  <c r="A1142" i="8" s="1"/>
  <c r="A1143" i="8" s="1"/>
  <c r="A1144" i="8" s="1"/>
  <c r="A1145" i="8" s="1"/>
  <c r="A1146" i="8" s="1"/>
  <c r="A1147" i="8" s="1"/>
  <c r="A1148" i="8" s="1"/>
  <c r="A1149" i="8" s="1"/>
  <c r="A1150" i="8" s="1"/>
  <c r="A1151" i="8" s="1"/>
  <c r="A1152" i="8" s="1"/>
  <c r="A1153" i="8" s="1"/>
  <c r="A1154" i="8" s="1"/>
  <c r="A1155" i="8" s="1"/>
  <c r="A1156" i="8" s="1"/>
  <c r="A1157" i="8" s="1"/>
  <c r="A1158" i="8" s="1"/>
  <c r="A1159" i="8" s="1"/>
  <c r="A1160" i="8" s="1"/>
  <c r="A1161"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4" i="8" s="1"/>
  <c r="A1185" i="8" s="1"/>
  <c r="A1186" i="8" s="1"/>
  <c r="A1187" i="8" s="1"/>
  <c r="A1188" i="8" s="1"/>
  <c r="A1189" i="8" s="1"/>
  <c r="A1190" i="8" s="1"/>
  <c r="A1191" i="8" s="1"/>
  <c r="A1192" i="8" s="1"/>
  <c r="A1193" i="8" s="1"/>
  <c r="A1194" i="8" s="1"/>
  <c r="A1195" i="8" s="1"/>
  <c r="A1196" i="8" s="1"/>
  <c r="A1197" i="8" s="1"/>
  <c r="A1198" i="8" s="1"/>
  <c r="A1199" i="8" s="1"/>
  <c r="A1200" i="8" s="1"/>
  <c r="A1201" i="8" s="1"/>
  <c r="A1202" i="8" s="1"/>
  <c r="A1203" i="8" s="1"/>
  <c r="A1204" i="8" s="1"/>
  <c r="A1205" i="8" s="1"/>
  <c r="A1206" i="8" s="1"/>
  <c r="A1207" i="8" s="1"/>
  <c r="A1208" i="8" s="1"/>
  <c r="A1209" i="8" s="1"/>
  <c r="A1210" i="8" s="1"/>
  <c r="A1211" i="8" s="1"/>
  <c r="A1212" i="8" s="1"/>
  <c r="A1213" i="8" s="1"/>
  <c r="A1214" i="8" s="1"/>
  <c r="A1215" i="8" s="1"/>
  <c r="A1216" i="8" s="1"/>
  <c r="A1217" i="8" s="1"/>
  <c r="A1218" i="8" s="1"/>
  <c r="A1219" i="8" s="1"/>
  <c r="A1220" i="8" s="1"/>
  <c r="A1221" i="8" s="1"/>
  <c r="A1222" i="8" s="1"/>
  <c r="A1223" i="8" s="1"/>
  <c r="A1224" i="8" s="1"/>
  <c r="A1225" i="8" s="1"/>
  <c r="A1226" i="8" s="1"/>
  <c r="A1227" i="8" s="1"/>
  <c r="A1228" i="8" s="1"/>
  <c r="A1229" i="8" s="1"/>
  <c r="A1230" i="8" s="1"/>
  <c r="A1231" i="8" s="1"/>
  <c r="A1232" i="8" s="1"/>
  <c r="A1233" i="8" s="1"/>
  <c r="A1234" i="8" s="1"/>
  <c r="A1235" i="8" s="1"/>
  <c r="A1236" i="8" s="1"/>
  <c r="A1237" i="8" s="1"/>
  <c r="A1238" i="8" s="1"/>
  <c r="A1239" i="8" s="1"/>
  <c r="A1240" i="8" s="1"/>
  <c r="A1241" i="8" s="1"/>
  <c r="A1242" i="8" s="1"/>
  <c r="A1243" i="8" s="1"/>
  <c r="A1244" i="8" s="1"/>
  <c r="A1245" i="8" s="1"/>
  <c r="A1246" i="8" s="1"/>
  <c r="A1247" i="8" s="1"/>
  <c r="A1248" i="8" s="1"/>
  <c r="A1249" i="8" s="1"/>
  <c r="A1250" i="8" s="1"/>
  <c r="A1251" i="8" s="1"/>
  <c r="A1252" i="8" s="1"/>
  <c r="A1253" i="8" s="1"/>
  <c r="A1254" i="8" s="1"/>
  <c r="A1255" i="8" s="1"/>
  <c r="A1256" i="8" s="1"/>
  <c r="A1257" i="8" s="1"/>
  <c r="A1258" i="8" s="1"/>
  <c r="A1259" i="8" s="1"/>
  <c r="A1260" i="8" s="1"/>
  <c r="A1261" i="8" s="1"/>
  <c r="A1262" i="8" s="1"/>
  <c r="A1263" i="8" s="1"/>
  <c r="A1264" i="8" s="1"/>
  <c r="A1265" i="8" s="1"/>
  <c r="A1266" i="8" s="1"/>
  <c r="A1267" i="8" s="1"/>
  <c r="A1268" i="8" s="1"/>
  <c r="A1269" i="8" s="1"/>
  <c r="A1270" i="8" s="1"/>
  <c r="A1271" i="8" s="1"/>
  <c r="A1272" i="8" s="1"/>
  <c r="A1273" i="8" s="1"/>
  <c r="A1274" i="8" s="1"/>
  <c r="A1275" i="8" s="1"/>
  <c r="A1276" i="8" s="1"/>
  <c r="A1277" i="8" s="1"/>
  <c r="A1278" i="8" s="1"/>
  <c r="A1279" i="8" s="1"/>
  <c r="A1280" i="8" s="1"/>
  <c r="A1281" i="8" s="1"/>
  <c r="A1282" i="8" s="1"/>
  <c r="A1283" i="8" s="1"/>
  <c r="A1284" i="8" s="1"/>
  <c r="A1285" i="8" s="1"/>
  <c r="A1286" i="8" s="1"/>
  <c r="A1287" i="8" s="1"/>
  <c r="A1288" i="8" s="1"/>
  <c r="A1289" i="8" s="1"/>
  <c r="A1290" i="8" s="1"/>
  <c r="A1291" i="8" s="1"/>
  <c r="A1292" i="8" s="1"/>
  <c r="A1293" i="8" s="1"/>
  <c r="A1294" i="8" s="1"/>
  <c r="A1295" i="8" s="1"/>
  <c r="A1296" i="8" s="1"/>
  <c r="A1297" i="8" s="1"/>
  <c r="A1298" i="8" s="1"/>
  <c r="A1299" i="8" s="1"/>
  <c r="A1300" i="8" s="1"/>
  <c r="A1301" i="8" s="1"/>
  <c r="A1302" i="8" s="1"/>
  <c r="A1303" i="8" s="1"/>
  <c r="A1304" i="8" s="1"/>
  <c r="A1305" i="8" s="1"/>
  <c r="A1306" i="8" s="1"/>
  <c r="A1307" i="8" s="1"/>
  <c r="A1308" i="8" s="1"/>
  <c r="A1309" i="8" s="1"/>
  <c r="A1310" i="8" s="1"/>
  <c r="A1311" i="8" s="1"/>
  <c r="A1312" i="8" s="1"/>
  <c r="A1313" i="8" s="1"/>
  <c r="A1314" i="8" s="1"/>
  <c r="A1315" i="8" s="1"/>
  <c r="A1316" i="8" s="1"/>
  <c r="A1317" i="8" s="1"/>
  <c r="A1318" i="8" s="1"/>
  <c r="A1319" i="8" s="1"/>
  <c r="A1320" i="8" s="1"/>
  <c r="A1321" i="8" s="1"/>
  <c r="A1322" i="8" s="1"/>
  <c r="A1323" i="8" s="1"/>
  <c r="A1324" i="8" s="1"/>
  <c r="A1325" i="8" s="1"/>
  <c r="A1326" i="8" s="1"/>
  <c r="A1327" i="8" s="1"/>
  <c r="A1328" i="8" s="1"/>
  <c r="A1329" i="8" s="1"/>
  <c r="A1330" i="8" s="1"/>
  <c r="A1331" i="8" s="1"/>
  <c r="A1332" i="8" s="1"/>
  <c r="A1333" i="8" s="1"/>
  <c r="A1334" i="8" s="1"/>
  <c r="A1335" i="8" s="1"/>
  <c r="A1336" i="8" s="1"/>
  <c r="A1337" i="8" s="1"/>
  <c r="A1338" i="8" s="1"/>
  <c r="A1339" i="8" s="1"/>
  <c r="A1340" i="8" s="1"/>
  <c r="A1341" i="8" s="1"/>
  <c r="A1342" i="8" s="1"/>
  <c r="A1343" i="8" s="1"/>
  <c r="A1344" i="8" s="1"/>
  <c r="A1345" i="8" s="1"/>
  <c r="A1346" i="8" s="1"/>
  <c r="A1347" i="8" s="1"/>
  <c r="A1348" i="8" s="1"/>
  <c r="A1349" i="8" s="1"/>
  <c r="A1350" i="8" s="1"/>
  <c r="A1351" i="8" s="1"/>
  <c r="A1352" i="8" s="1"/>
  <c r="A1353" i="8" s="1"/>
  <c r="A1354" i="8" s="1"/>
  <c r="A1355" i="8" s="1"/>
  <c r="A1356" i="8" s="1"/>
  <c r="A1357" i="8" s="1"/>
  <c r="A1358" i="8" s="1"/>
  <c r="A1359" i="8" s="1"/>
  <c r="A1360" i="8" s="1"/>
  <c r="A1361" i="8" s="1"/>
  <c r="A1362" i="8" s="1"/>
  <c r="A1363" i="8" s="1"/>
  <c r="A1364" i="8" s="1"/>
  <c r="A1365" i="8" s="1"/>
  <c r="A1366" i="8" s="1"/>
  <c r="A1367" i="8" s="1"/>
  <c r="A1368" i="8" s="1"/>
  <c r="A1369" i="8" s="1"/>
  <c r="A1370" i="8" s="1"/>
  <c r="A1371" i="8" s="1"/>
  <c r="A1372" i="8" s="1"/>
  <c r="A1373" i="8" s="1"/>
  <c r="A1374" i="8" s="1"/>
  <c r="A1375" i="8" s="1"/>
  <c r="A1376" i="8" s="1"/>
  <c r="A1377" i="8" s="1"/>
  <c r="A1378" i="8" s="1"/>
  <c r="A1379" i="8" s="1"/>
  <c r="A1380" i="8" s="1"/>
  <c r="A1381" i="8" s="1"/>
  <c r="A1382" i="8" s="1"/>
  <c r="A1383" i="8" s="1"/>
  <c r="A1384" i="8" s="1"/>
  <c r="A1385" i="8" s="1"/>
  <c r="A1386" i="8" s="1"/>
  <c r="A1387" i="8" s="1"/>
  <c r="A1388" i="8" s="1"/>
  <c r="A1389" i="8" s="1"/>
  <c r="A1390" i="8" s="1"/>
  <c r="A1391" i="8" s="1"/>
  <c r="A1392" i="8" s="1"/>
  <c r="A1393" i="8" s="1"/>
  <c r="A1394" i="8" s="1"/>
  <c r="A1395" i="8" s="1"/>
  <c r="A1396" i="8" s="1"/>
  <c r="A1397" i="8" s="1"/>
  <c r="A1398" i="8" s="1"/>
  <c r="A1399" i="8" s="1"/>
  <c r="A1400" i="8" s="1"/>
  <c r="A1401" i="8" s="1"/>
  <c r="A1402" i="8" s="1"/>
  <c r="A1403" i="8" s="1"/>
  <c r="A1404" i="8" s="1"/>
  <c r="A1405" i="8" s="1"/>
  <c r="A1406" i="8" s="1"/>
  <c r="A1407" i="8" s="1"/>
  <c r="A1408" i="8" s="1"/>
  <c r="A1409" i="8" s="1"/>
  <c r="A1410" i="8" s="1"/>
  <c r="A1411" i="8" s="1"/>
  <c r="I37" i="5"/>
  <c r="L28" i="5"/>
  <c r="B75" i="11"/>
  <c r="C4" i="11"/>
  <c r="C41" i="11"/>
  <c r="C15" i="11"/>
  <c r="C21" i="11"/>
  <c r="C7" i="11"/>
  <c r="C14" i="11"/>
  <c r="N4" i="11"/>
  <c r="C46" i="11"/>
  <c r="C13" i="11"/>
  <c r="R2" i="11"/>
  <c r="N17" i="11"/>
  <c r="Q2" i="11"/>
  <c r="N2" i="11"/>
  <c r="C12" i="11"/>
  <c r="C6" i="11"/>
  <c r="L2" i="11"/>
  <c r="K2" i="11"/>
  <c r="C5" i="11"/>
  <c r="C38" i="11"/>
  <c r="C37" i="11"/>
  <c r="F2" i="11"/>
  <c r="E2" i="11"/>
  <c r="B2" i="11"/>
  <c r="C20" i="11"/>
  <c r="N10" i="11"/>
  <c r="C36" i="11"/>
  <c r="D53" i="11"/>
  <c r="C51" i="11"/>
  <c r="C35" i="11"/>
  <c r="D2" i="11"/>
  <c r="D49" i="11"/>
  <c r="C19" i="11"/>
  <c r="B49" i="11"/>
  <c r="C34" i="11"/>
  <c r="I39" i="5"/>
  <c r="Q119" i="11"/>
  <c r="C18" i="11"/>
  <c r="I38" i="5"/>
  <c r="O119" i="11"/>
  <c r="C33" i="11"/>
  <c r="B2" i="6"/>
  <c r="N116" i="11"/>
  <c r="C17" i="11"/>
  <c r="Q81" i="11"/>
  <c r="C32" i="11"/>
  <c r="O81" i="11"/>
  <c r="C16" i="11"/>
  <c r="N78" i="11"/>
  <c r="C31" i="11"/>
  <c r="C43" i="11"/>
  <c r="C11" i="11"/>
  <c r="C47" i="11"/>
  <c r="C24" i="11"/>
  <c r="N8" i="11"/>
  <c r="C45" i="11"/>
  <c r="C23" i="11"/>
  <c r="C10" i="11"/>
  <c r="N10" i="6"/>
  <c r="C44" i="11"/>
  <c r="C22" i="11"/>
  <c r="C9" i="11"/>
  <c r="Q20" i="11"/>
  <c r="G2" i="11"/>
  <c r="C42" i="11"/>
  <c r="O20" i="11"/>
  <c r="C8" i="11"/>
  <c r="U5" i="11"/>
  <c r="B31" i="6"/>
  <c r="B64" i="6"/>
  <c r="B50" i="6"/>
  <c r="B37" i="6"/>
  <c r="B56" i="6"/>
  <c r="C10" i="6"/>
  <c r="K10" i="6"/>
  <c r="C11" i="6"/>
  <c r="K11" i="6"/>
  <c r="C12" i="6"/>
  <c r="C19" i="6" s="1"/>
  <c r="K12" i="6"/>
  <c r="C13" i="6"/>
  <c r="C20" i="6" s="1"/>
  <c r="K13" i="6"/>
  <c r="C14" i="6"/>
  <c r="K14" i="6"/>
  <c r="C15" i="6"/>
  <c r="C22" i="6" s="1"/>
  <c r="K15" i="6"/>
  <c r="C16" i="6"/>
  <c r="K16" i="6"/>
  <c r="K17" i="6"/>
  <c r="K18" i="6"/>
  <c r="K19" i="6"/>
  <c r="K20" i="6"/>
  <c r="K21" i="6"/>
  <c r="K22" i="6"/>
  <c r="K23" i="6"/>
  <c r="AG10" i="5"/>
  <c r="AG11" i="5"/>
  <c r="H51" i="11"/>
  <c r="K35" i="9"/>
  <c r="K49" i="9"/>
  <c r="K48" i="9"/>
  <c r="K47" i="9"/>
  <c r="K46" i="9"/>
  <c r="K45" i="9"/>
  <c r="K44" i="9"/>
  <c r="K43" i="9"/>
  <c r="K42" i="9"/>
  <c r="K41" i="9"/>
  <c r="K40" i="9"/>
  <c r="K39" i="9"/>
  <c r="K38" i="9"/>
  <c r="K37" i="9"/>
  <c r="K36"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B2" i="9"/>
  <c r="N4" i="9"/>
  <c r="AJ10" i="5"/>
  <c r="AI10" i="5"/>
  <c r="AH10" i="5"/>
  <c r="AJ11" i="5"/>
  <c r="AI11" i="5"/>
  <c r="AH11" i="5"/>
  <c r="AJ12" i="5"/>
  <c r="AI12" i="5"/>
  <c r="AH12" i="5"/>
  <c r="AG12" i="5"/>
  <c r="AX7" i="5"/>
  <c r="AW7" i="5"/>
  <c r="AV7" i="5"/>
  <c r="AX6" i="5"/>
  <c r="AW6" i="5"/>
  <c r="AV6" i="5"/>
  <c r="AX5" i="5"/>
  <c r="AW5" i="5"/>
  <c r="AV5" i="5"/>
  <c r="AX4" i="5"/>
  <c r="AW4" i="5"/>
  <c r="AV4" i="5"/>
  <c r="AJ8" i="5"/>
  <c r="AI8" i="5"/>
  <c r="AH8" i="5"/>
  <c r="AJ7" i="5"/>
  <c r="AI7" i="5"/>
  <c r="AH7" i="5"/>
  <c r="AJ6" i="5"/>
  <c r="AI6" i="5"/>
  <c r="AH6" i="5"/>
  <c r="AJ5" i="5"/>
  <c r="AI5" i="5"/>
  <c r="AH5" i="5"/>
  <c r="AJ4" i="5"/>
  <c r="AI4" i="5"/>
  <c r="AH4" i="5"/>
  <c r="C18" i="6" l="1"/>
  <c r="C17" i="6"/>
  <c r="C21" i="6"/>
  <c r="C23" i="6"/>
  <c r="H11" i="6"/>
  <c r="H10" i="6"/>
  <c r="H12" i="6"/>
  <c r="AG8" i="5"/>
  <c r="AG7" i="5"/>
  <c r="AG6" i="5"/>
  <c r="AG5" i="5"/>
  <c r="AG4" i="5"/>
  <c r="AN32" i="5" l="1"/>
  <c r="H32" i="11" s="1"/>
  <c r="H4" i="6"/>
  <c r="H5" i="6"/>
  <c r="I36" i="5"/>
  <c r="AX26" i="5"/>
  <c r="AW26" i="5"/>
  <c r="AV26" i="5"/>
  <c r="AX25" i="5"/>
  <c r="AW25" i="5"/>
  <c r="AV25" i="5"/>
  <c r="AJ23" i="5" l="1"/>
  <c r="AI23" i="5"/>
  <c r="AH23" i="5"/>
  <c r="AJ22" i="5"/>
  <c r="AI22" i="5"/>
  <c r="AH22" i="5"/>
  <c r="AJ21" i="5"/>
  <c r="AI21" i="5"/>
  <c r="AH21" i="5"/>
  <c r="AJ16" i="5"/>
  <c r="AI16" i="5"/>
  <c r="AH16" i="5"/>
  <c r="AJ15" i="5"/>
  <c r="AI15" i="5"/>
  <c r="AH15" i="5"/>
  <c r="AJ14" i="5"/>
  <c r="AI14" i="5"/>
  <c r="AH14" i="5"/>
  <c r="AJ20" i="5" l="1"/>
  <c r="AI20" i="5"/>
  <c r="AH20" i="5"/>
  <c r="AJ19" i="5"/>
  <c r="AI19" i="5"/>
  <c r="AH19" i="5"/>
  <c r="AJ18" i="5"/>
  <c r="AI18" i="5"/>
  <c r="AH18" i="5"/>
  <c r="AJ17" i="5"/>
  <c r="AI17" i="5"/>
  <c r="AH17" i="5"/>
  <c r="AJ13" i="5"/>
  <c r="AI13" i="5"/>
  <c r="AH13" i="5"/>
  <c r="AN31" i="5" l="1"/>
  <c r="H31" i="11" s="1"/>
  <c r="AN42" i="5"/>
  <c r="H42" i="11" s="1"/>
  <c r="K4" i="6"/>
  <c r="AN30" i="5" l="1"/>
  <c r="H30" i="11" s="1"/>
  <c r="K6" i="6"/>
  <c r="AN5" i="5" l="1"/>
  <c r="H5" i="11" s="1"/>
  <c r="AN36" i="5" l="1"/>
  <c r="H36" i="11" s="1"/>
  <c r="AN35" i="5" l="1"/>
  <c r="H35" i="11" s="1"/>
  <c r="AN33" i="5"/>
  <c r="H33" i="11" s="1"/>
  <c r="AN34" i="5"/>
  <c r="AX49" i="5"/>
  <c r="AW49" i="5"/>
  <c r="AV49" i="5"/>
  <c r="AX48" i="5"/>
  <c r="AW48" i="5"/>
  <c r="AV48" i="5"/>
  <c r="AX47" i="5"/>
  <c r="AW47" i="5"/>
  <c r="AV47" i="5"/>
  <c r="AX46" i="5"/>
  <c r="AW46" i="5"/>
  <c r="AV46" i="5"/>
  <c r="H44" i="5"/>
  <c r="H34" i="11" l="1"/>
  <c r="AX29" i="5"/>
  <c r="AW29" i="5"/>
  <c r="AV29" i="5"/>
  <c r="AX28" i="5"/>
  <c r="AW28" i="5"/>
  <c r="AV28" i="5"/>
  <c r="AX27" i="5"/>
  <c r="AW27" i="5"/>
  <c r="AV27" i="5"/>
  <c r="K7" i="6"/>
  <c r="H7" i="6" l="1"/>
  <c r="AN12" i="5" l="1"/>
  <c r="H12" i="11" s="1"/>
  <c r="AX12" i="5"/>
  <c r="AW12" i="5"/>
  <c r="AV12" i="5"/>
  <c r="AX8" i="5"/>
  <c r="AW8" i="5"/>
  <c r="AV8" i="5"/>
  <c r="AX14" i="5"/>
  <c r="AW14" i="5"/>
  <c r="AV14" i="5"/>
  <c r="AX13" i="5"/>
  <c r="AW13" i="5"/>
  <c r="AV13" i="5"/>
  <c r="AN22" i="5" l="1"/>
  <c r="H22" i="11" s="1"/>
  <c r="AX11" i="5"/>
  <c r="AW11" i="5"/>
  <c r="AV11" i="5"/>
  <c r="AX10" i="5"/>
  <c r="AW10" i="5"/>
  <c r="AV10" i="5"/>
  <c r="AX9" i="5"/>
  <c r="AW9" i="5"/>
  <c r="AV9" i="5"/>
  <c r="AV15" i="5" l="1"/>
  <c r="AW15" i="5"/>
  <c r="AX15" i="5"/>
  <c r="AN10" i="5" l="1"/>
  <c r="H10" i="11" s="1"/>
  <c r="AN39" i="5"/>
  <c r="AN11" i="5"/>
  <c r="H11" i="11" s="1"/>
  <c r="AN46" i="5"/>
  <c r="H46" i="11" s="1"/>
  <c r="AN13" i="5"/>
  <c r="H13" i="11" s="1"/>
  <c r="H39" i="11" l="1"/>
  <c r="AN47" i="5"/>
  <c r="H47" i="11" s="1"/>
  <c r="AN18" i="5" l="1"/>
  <c r="H18" i="11" s="1"/>
  <c r="AN17" i="5"/>
  <c r="H17" i="11" l="1"/>
  <c r="AN16" i="5"/>
  <c r="H16" i="11" s="1"/>
  <c r="AN20" i="5" l="1"/>
  <c r="H20" i="11" s="1"/>
  <c r="AN25" i="5" l="1"/>
  <c r="H25" i="11" s="1"/>
  <c r="AU4" i="5" l="1"/>
  <c r="AU5" i="5"/>
  <c r="AU7" i="5"/>
  <c r="AU6" i="5"/>
  <c r="H53" i="9"/>
  <c r="AU25" i="5" l="1"/>
  <c r="AU26" i="5"/>
  <c r="AU49" i="5"/>
  <c r="AU48" i="5"/>
  <c r="AU46" i="5"/>
  <c r="AU47" i="5"/>
  <c r="AU29" i="5"/>
  <c r="AU8" i="5"/>
  <c r="AU13" i="5"/>
  <c r="AU14" i="5"/>
  <c r="AU12" i="5"/>
  <c r="H12" i="9" s="1"/>
  <c r="H25" i="9" l="1"/>
  <c r="H26" i="9"/>
  <c r="AU27" i="5"/>
  <c r="H27" i="9" s="1"/>
  <c r="AU28" i="5"/>
  <c r="H28" i="9" s="1"/>
  <c r="AG17" i="5"/>
  <c r="H46" i="9"/>
  <c r="H47" i="9"/>
  <c r="H48" i="9"/>
  <c r="H49" i="9"/>
  <c r="H29" i="9"/>
  <c r="H14" i="9"/>
  <c r="H13" i="9"/>
  <c r="H8" i="9"/>
  <c r="AU9" i="5"/>
  <c r="AU10" i="5"/>
  <c r="H10" i="9" s="1"/>
  <c r="H7" i="9"/>
  <c r="AU11" i="5"/>
  <c r="H11" i="9" s="1"/>
  <c r="AU15" i="5"/>
  <c r="H15" i="9" s="1"/>
  <c r="AX45" i="5"/>
  <c r="AW45" i="5"/>
  <c r="AV45" i="5"/>
  <c r="AX44" i="5"/>
  <c r="AW44" i="5"/>
  <c r="AV44" i="5"/>
  <c r="AX43" i="5"/>
  <c r="AW43" i="5"/>
  <c r="AV43" i="5"/>
  <c r="AX42" i="5"/>
  <c r="AW42" i="5"/>
  <c r="AV42" i="5"/>
  <c r="AX41" i="5"/>
  <c r="AW41" i="5"/>
  <c r="AV41" i="5"/>
  <c r="AX40" i="5"/>
  <c r="AW40" i="5"/>
  <c r="AV40" i="5"/>
  <c r="AX39" i="5"/>
  <c r="AW39" i="5"/>
  <c r="AV39" i="5"/>
  <c r="AX38" i="5"/>
  <c r="AW38" i="5"/>
  <c r="AV38" i="5"/>
  <c r="AX37" i="5"/>
  <c r="AW37" i="5"/>
  <c r="AV37" i="5"/>
  <c r="AX36" i="5"/>
  <c r="AW36" i="5"/>
  <c r="AV36" i="5"/>
  <c r="AX35" i="5"/>
  <c r="AW35" i="5"/>
  <c r="AV35" i="5"/>
  <c r="AX34" i="5"/>
  <c r="AW34" i="5"/>
  <c r="AV34" i="5"/>
  <c r="AX33" i="5"/>
  <c r="AW33" i="5"/>
  <c r="AV33" i="5"/>
  <c r="AX32" i="5"/>
  <c r="AW32" i="5"/>
  <c r="AV32" i="5"/>
  <c r="AX31" i="5"/>
  <c r="AW31" i="5"/>
  <c r="AV31" i="5"/>
  <c r="AX30" i="5"/>
  <c r="AW30" i="5"/>
  <c r="AV30" i="5"/>
  <c r="AX24" i="5"/>
  <c r="AW24" i="5"/>
  <c r="AV24" i="5"/>
  <c r="AX23" i="5"/>
  <c r="AW23" i="5"/>
  <c r="AV23" i="5"/>
  <c r="AX22" i="5"/>
  <c r="AW22" i="5"/>
  <c r="AV22" i="5"/>
  <c r="AX21" i="5"/>
  <c r="AW21" i="5"/>
  <c r="AV21" i="5"/>
  <c r="AX20" i="5"/>
  <c r="AW20" i="5"/>
  <c r="AV20" i="5"/>
  <c r="AX19" i="5"/>
  <c r="AW19" i="5"/>
  <c r="AV19" i="5"/>
  <c r="AX18" i="5"/>
  <c r="AW18" i="5"/>
  <c r="AV18" i="5"/>
  <c r="AX17" i="5"/>
  <c r="AW17" i="5"/>
  <c r="AV17" i="5"/>
  <c r="AX16" i="5"/>
  <c r="AW16" i="5"/>
  <c r="AV16" i="5"/>
  <c r="H17" i="6" l="1"/>
  <c r="AG18" i="5"/>
  <c r="AG15" i="5"/>
  <c r="AG21" i="5"/>
  <c r="AG13" i="5"/>
  <c r="AG23" i="5"/>
  <c r="AG20" i="5"/>
  <c r="AG16" i="5"/>
  <c r="AG19" i="5"/>
  <c r="AG14" i="5"/>
  <c r="AG22" i="5"/>
  <c r="H9" i="9"/>
  <c r="AU45" i="5"/>
  <c r="AU44" i="5"/>
  <c r="AU43" i="5"/>
  <c r="AU42" i="5"/>
  <c r="AU41" i="5"/>
  <c r="AU39" i="5"/>
  <c r="AU38" i="5"/>
  <c r="AU37" i="5"/>
  <c r="AU36" i="5"/>
  <c r="AU35" i="5"/>
  <c r="AU33" i="5"/>
  <c r="AU32" i="5"/>
  <c r="AU31" i="5"/>
  <c r="AU30" i="5"/>
  <c r="AU24" i="5"/>
  <c r="AU23" i="5"/>
  <c r="AU22" i="5"/>
  <c r="AU21" i="5"/>
  <c r="AU20" i="5"/>
  <c r="AU19" i="5"/>
  <c r="AU18" i="5"/>
  <c r="AU17" i="5"/>
  <c r="AU16" i="5"/>
  <c r="H23" i="6" l="1"/>
  <c r="H22" i="6"/>
  <c r="H21" i="6"/>
  <c r="H20" i="6"/>
  <c r="H19" i="6"/>
  <c r="H18" i="6"/>
  <c r="H16" i="6"/>
  <c r="H15" i="6"/>
  <c r="H14" i="6"/>
  <c r="H13" i="6"/>
  <c r="AU34" i="5"/>
  <c r="H34" i="9" s="1"/>
  <c r="H5" i="9"/>
  <c r="H6" i="9"/>
  <c r="H4" i="9"/>
  <c r="H43" i="9"/>
  <c r="H18" i="9"/>
  <c r="H35" i="9"/>
  <c r="H19" i="9"/>
  <c r="H21" i="9"/>
  <c r="H36" i="9"/>
  <c r="H45" i="9"/>
  <c r="H39" i="9"/>
  <c r="H22" i="9"/>
  <c r="H37" i="9"/>
  <c r="H31" i="9"/>
  <c r="H24" i="9"/>
  <c r="H44" i="9"/>
  <c r="H38" i="9"/>
  <c r="H23" i="9"/>
  <c r="H16" i="9"/>
  <c r="H41" i="9"/>
  <c r="H30" i="9"/>
  <c r="H42" i="9"/>
  <c r="H33" i="9"/>
  <c r="H17" i="9"/>
  <c r="H32" i="9"/>
  <c r="H20" i="9"/>
  <c r="AU40" i="5"/>
  <c r="H40" i="9" l="1"/>
  <c r="H55" i="9" s="1"/>
  <c r="K39" i="5" l="1"/>
  <c r="AN43" i="5" l="1"/>
  <c r="H43" i="11" s="1"/>
  <c r="AN7" i="5" l="1"/>
  <c r="AN24" i="5"/>
  <c r="AN14" i="5"/>
  <c r="H14" i="11" s="1"/>
  <c r="AN15" i="5"/>
  <c r="AN44" i="5"/>
  <c r="AN9" i="5"/>
  <c r="AN23" i="5"/>
  <c r="H6" i="6"/>
  <c r="H44" i="11" l="1"/>
  <c r="H15" i="11"/>
  <c r="H24" i="11"/>
  <c r="H23" i="11"/>
  <c r="H7" i="11"/>
  <c r="H9" i="11"/>
  <c r="AN19" i="5"/>
  <c r="AN38" i="5"/>
  <c r="AN37" i="5"/>
  <c r="H8" i="6"/>
  <c r="H29" i="6" s="1"/>
  <c r="AN21" i="5"/>
  <c r="AN41" i="5"/>
  <c r="AN8" i="5"/>
  <c r="AN45" i="5"/>
  <c r="K8" i="6"/>
  <c r="K5" i="6"/>
  <c r="H45" i="11" l="1"/>
  <c r="H38" i="11"/>
  <c r="H41" i="11"/>
  <c r="H37" i="11"/>
  <c r="H21" i="11"/>
  <c r="H19" i="11"/>
  <c r="H8" i="11"/>
  <c r="H53" i="11" l="1"/>
  <c r="K38" i="5" s="1"/>
  <c r="C26" i="9"/>
  <c r="C25" i="9"/>
  <c r="C24" i="9"/>
  <c r="Z24" i="9"/>
  <c r="N8" i="6"/>
  <c r="B22" i="5"/>
  <c r="B23" i="5"/>
  <c r="N7" i="6"/>
  <c r="L34" i="5"/>
  <c r="B16" i="5"/>
  <c r="L32" i="5"/>
  <c r="B25" i="5"/>
  <c r="B17" i="5"/>
  <c r="B18" i="5"/>
  <c r="B19" i="5"/>
  <c r="D15" i="5"/>
  <c r="D11" i="5"/>
  <c r="B15" i="5"/>
  <c r="D14" i="5"/>
  <c r="B14" i="5"/>
  <c r="D23" i="5"/>
  <c r="D22" i="5"/>
  <c r="T59" i="9"/>
  <c r="G46" i="5"/>
  <c r="C8" i="9"/>
  <c r="N57" i="9" s="1"/>
  <c r="G53" i="5"/>
  <c r="G45" i="5"/>
  <c r="G48" i="5"/>
  <c r="C49" i="9"/>
  <c r="Z59" i="9" s="1"/>
  <c r="G52" i="5"/>
  <c r="C48" i="9"/>
  <c r="Z29" i="9" s="1"/>
  <c r="G51" i="5"/>
  <c r="G44" i="5"/>
  <c r="C47" i="9"/>
  <c r="Z89" i="9" s="1"/>
  <c r="G50" i="5"/>
  <c r="G43" i="5"/>
  <c r="C9" i="9"/>
  <c r="N58" i="9" s="1"/>
  <c r="C46" i="9"/>
  <c r="Z88" i="9" s="1"/>
  <c r="G49" i="5"/>
  <c r="G47" i="5"/>
  <c r="C29" i="9"/>
  <c r="C28" i="9"/>
  <c r="C27" i="9"/>
  <c r="C12" i="9"/>
  <c r="N76" i="9" s="1"/>
  <c r="N2" i="6"/>
  <c r="C7" i="6"/>
  <c r="R2" i="9"/>
  <c r="Q2" i="9"/>
  <c r="C8" i="6"/>
  <c r="N100" i="9"/>
  <c r="N6" i="6"/>
  <c r="N72" i="9"/>
  <c r="N2" i="9"/>
  <c r="Q2" i="6"/>
  <c r="D25" i="5"/>
  <c r="N8" i="9"/>
  <c r="N17" i="9"/>
  <c r="N10" i="9"/>
  <c r="C10" i="9"/>
  <c r="N59" i="9" s="1"/>
  <c r="C6" i="9"/>
  <c r="N41" i="9" s="1"/>
  <c r="D18" i="5"/>
  <c r="C23" i="9"/>
  <c r="C39" i="9"/>
  <c r="B56" i="5"/>
  <c r="D29" i="6"/>
  <c r="C42" i="9"/>
  <c r="C38" i="9"/>
  <c r="D51" i="9"/>
  <c r="C43" i="9"/>
  <c r="C53" i="9"/>
  <c r="D25" i="6"/>
  <c r="N5" i="6"/>
  <c r="C11" i="9"/>
  <c r="N75" i="9" s="1"/>
  <c r="C20" i="9"/>
  <c r="G2" i="6"/>
  <c r="E2" i="9"/>
  <c r="C18" i="9"/>
  <c r="N106" i="9" s="1"/>
  <c r="I41" i="5"/>
  <c r="L2" i="6"/>
  <c r="L29" i="5"/>
  <c r="L30" i="5"/>
  <c r="K2" i="9"/>
  <c r="D19" i="5"/>
  <c r="G2" i="9"/>
  <c r="C21" i="9"/>
  <c r="E2" i="6"/>
  <c r="C4" i="9"/>
  <c r="N20" i="9" s="1"/>
  <c r="D2" i="6"/>
  <c r="C33" i="9"/>
  <c r="C37" i="9"/>
  <c r="C27" i="6"/>
  <c r="C32" i="9"/>
  <c r="C34" i="9"/>
  <c r="D16" i="5"/>
  <c r="C41" i="9"/>
  <c r="L2" i="9"/>
  <c r="F2" i="9"/>
  <c r="C15" i="9"/>
  <c r="N103" i="9" s="1"/>
  <c r="C7" i="9"/>
  <c r="N56" i="9" s="1"/>
  <c r="L27" i="5"/>
  <c r="D55" i="9"/>
  <c r="C31" i="9"/>
  <c r="K2" i="6"/>
  <c r="C5" i="9"/>
  <c r="N35" i="9" s="1"/>
  <c r="C36" i="9"/>
  <c r="F2" i="6"/>
  <c r="R2" i="6"/>
  <c r="C14" i="9"/>
  <c r="N78" i="9" s="1"/>
  <c r="C40" i="9"/>
  <c r="C22" i="9"/>
  <c r="B51" i="9"/>
  <c r="C19" i="9"/>
  <c r="D17" i="5"/>
  <c r="D2" i="9"/>
  <c r="C44" i="9"/>
  <c r="C30" i="9"/>
  <c r="C35" i="9"/>
  <c r="C13" i="9"/>
  <c r="N77" i="9" s="1"/>
  <c r="C17" i="9"/>
  <c r="N105" i="9" s="1"/>
  <c r="N4" i="6"/>
  <c r="C16" i="9"/>
  <c r="N104" i="9" s="1"/>
  <c r="C45" i="9"/>
  <c r="L31" i="5"/>
  <c r="K37" i="5"/>
  <c r="K41" i="5" l="1"/>
</calcChain>
</file>

<file path=xl/sharedStrings.xml><?xml version="1.0" encoding="utf-8"?>
<sst xmlns="http://schemas.openxmlformats.org/spreadsheetml/2006/main" count="1234" uniqueCount="1105">
  <si>
    <t>Full</t>
  </si>
  <si>
    <t>Update</t>
  </si>
  <si>
    <t>E-Mail:</t>
  </si>
  <si>
    <t>Home page:</t>
  </si>
  <si>
    <t>HEH</t>
  </si>
  <si>
    <t>CCS</t>
  </si>
  <si>
    <t>TDB</t>
  </si>
  <si>
    <t>- Hersteller und Händler von Wärmeaustauschern</t>
  </si>
  <si>
    <t>- Hersteller und Händler von Klimageräten</t>
  </si>
  <si>
    <t>Datum:</t>
  </si>
  <si>
    <t>Firma:</t>
  </si>
  <si>
    <t>Branche:</t>
  </si>
  <si>
    <t>Sachbearbeiter:</t>
  </si>
  <si>
    <t>Strasse:</t>
  </si>
  <si>
    <t>Land / PLZ / Ort:</t>
  </si>
  <si>
    <t>Telefon:</t>
  </si>
  <si>
    <t>Telefax:</t>
  </si>
  <si>
    <t>Typ</t>
  </si>
  <si>
    <t>Test</t>
  </si>
  <si>
    <t>Auswahl</t>
  </si>
  <si>
    <t>Tage</t>
  </si>
  <si>
    <t>Heiz- &amp; Kühllast durch Prozesse mit Luft eliminieren</t>
  </si>
  <si>
    <t>Taupunkt- und Feuchtkugel-Temperatur</t>
  </si>
  <si>
    <t>Kühlanlagen mit Eisspeicher optimieren</t>
  </si>
  <si>
    <t>Befeuchtungsprozess mit Wasser, Nassdampf oder Sattdampf</t>
  </si>
  <si>
    <t>Mischprozess von 2 Luftmengen, eventuelll mit Kondensatbildung</t>
  </si>
  <si>
    <t>Lufterwärmung durch die aufgenommene Ventilator-Leistung</t>
  </si>
  <si>
    <t>Unterkritisch: Kapillar-Druckverlust im Einspritzverdampfer</t>
  </si>
  <si>
    <t>Überkritisch: Kapillar-Druckverlust im Einspritzverdampfer</t>
  </si>
  <si>
    <t>Unterkritisch: Kältekreis-Prozess optimieren</t>
  </si>
  <si>
    <t>Glykol-Rückkühler Trocken Adiabat Hybrid V-Form-2 Container-Abm.</t>
  </si>
  <si>
    <t>Glykol-Rückkühler Trocken Adiabat Hybrid V-Form-2 grosse Abm.</t>
  </si>
  <si>
    <t>Glykol-Rückkühler Trocken Adiabat Hybrid H-Form-2 Container-Abm.</t>
  </si>
  <si>
    <t>Glykol-Rückkühler Trocken Adiabat Hybrid H-Form-1</t>
  </si>
  <si>
    <t>Glykol-Rückkühler 1 x Hybrid in Klimageräte eingebaut</t>
  </si>
  <si>
    <t>Glykol-Rückkühler 2 x Hybrid in Serie in Klimageräte eingebaut</t>
  </si>
  <si>
    <t>Nur in Excel lieferbar!</t>
  </si>
  <si>
    <t>Mollier-TX-Diagramm, Kühlprozess für Gase mit kondensierb. Dämpfen</t>
  </si>
  <si>
    <t>Einführung in die Applikationen</t>
  </si>
  <si>
    <t>Sole-Eigenschaften und Leistungsvergleich für KV-Systeme</t>
  </si>
  <si>
    <t>Hochsprachige Applikationen</t>
  </si>
  <si>
    <t>Excel Applikationen</t>
  </si>
  <si>
    <t>HVAC solutions</t>
  </si>
  <si>
    <t>Jurastrasse 35</t>
  </si>
  <si>
    <t>CH-3063 Ittigen</t>
  </si>
  <si>
    <t>www.zcs.ch</t>
  </si>
  <si>
    <t>info@zcs.ch</t>
  </si>
  <si>
    <t>+41 (0)79 222 66 42</t>
  </si>
  <si>
    <t>Marin Zeller</t>
  </si>
  <si>
    <t>Rauchgaskühler, Rohrbündel-WT</t>
  </si>
  <si>
    <t>Bestellung bitte per E-Mail an:</t>
  </si>
  <si>
    <t>1 Netzwerk-Lizenz, 1 Client //</t>
  </si>
  <si>
    <t>Total netto, Vorauszahlung:</t>
  </si>
  <si>
    <t>Applicazioni lingua alta</t>
  </si>
  <si>
    <t>Prova</t>
  </si>
  <si>
    <t>Selezione</t>
  </si>
  <si>
    <t>Esempio</t>
  </si>
  <si>
    <t>2 Licenza singola</t>
  </si>
  <si>
    <t>Processo umidificazione con acqua, vapore umido o vapore saturo</t>
  </si>
  <si>
    <t>Miscelazione 2 prese d'aria, possibilmente con formazione di cond.</t>
  </si>
  <si>
    <t>Riscaldamento effetto dalla potenza assorbita di ventilatore</t>
  </si>
  <si>
    <t>Applicazioni Excel</t>
  </si>
  <si>
    <t>Disponibile solo in Excel!</t>
  </si>
  <si>
    <t>Raffred. glicole, seca, ibrido, adiabatici, V-Design-2, dim. Contenitore</t>
  </si>
  <si>
    <t>Raffred. glicole, seca, ibrido, adiabatici, V-Design-2, grandi dimensioni</t>
  </si>
  <si>
    <t>Raffred. glicole, seca, ibrido, adiabatici, H-Design-2, dim. contenitore</t>
  </si>
  <si>
    <t>Raffreddatore glicole, ibrido adiabatici H-Design-1</t>
  </si>
  <si>
    <t>Raffreddatore glicole, 1 x ibrido in unità condizionamento dell'aria</t>
  </si>
  <si>
    <t>Raffreddatore glicole, 2 x ibrido in serie in unità condiz. dell'aria</t>
  </si>
  <si>
    <t>Subcritica: Capillare caduta di pressione nel DX-Evaporatore</t>
  </si>
  <si>
    <t>Supercritico: Capillare caduta di pressione nel DX-Evaporatore</t>
  </si>
  <si>
    <t>Punto di rugiada e bulbo umido, temperatura</t>
  </si>
  <si>
    <t>Mollier TX schema, processo di raffred. per gas con vapori condens.</t>
  </si>
  <si>
    <t>Proprietà salamoia e confronto efficienza su CC-Sistemi</t>
  </si>
  <si>
    <t>Carico di riscaldamento e raffreddamento eliminare con processi aerei</t>
  </si>
  <si>
    <t>Ottimizzare il raffreddamento-impianti con ghiaccio banche</t>
  </si>
  <si>
    <t>Subcritico: Ottimizzare il processo in circuiti frigoriferi</t>
  </si>
  <si>
    <t>Introduzione alle applicazioni</t>
  </si>
  <si>
    <t>Giorni</t>
  </si>
  <si>
    <t>Voglia richiedere il minimo di quantità!</t>
  </si>
  <si>
    <t>- Fabbriche e concessionari per di unità di condizionamento</t>
  </si>
  <si>
    <t>Ordine via E-Mail per:</t>
  </si>
  <si>
    <t>Data:</t>
  </si>
  <si>
    <t>Società:</t>
  </si>
  <si>
    <t>Affari:</t>
  </si>
  <si>
    <t>Responsabile del progetto:</t>
  </si>
  <si>
    <t>Via:</t>
  </si>
  <si>
    <t>Paese / CAP / Città:</t>
  </si>
  <si>
    <t>Telefono:</t>
  </si>
  <si>
    <t>Fax:</t>
  </si>
  <si>
    <t xml:space="preserve"> </t>
  </si>
  <si>
    <t>AHH in high language</t>
  </si>
  <si>
    <t>MDI in high language</t>
  </si>
  <si>
    <t>Meteorological data interface, service time selection</t>
  </si>
  <si>
    <t>AHU in high language</t>
  </si>
  <si>
    <t>Neutral Air-Handling-Unit configurator for projects</t>
  </si>
  <si>
    <t>EAC in Excel</t>
  </si>
  <si>
    <t>Economy comparison of circuit connected systems</t>
  </si>
  <si>
    <t>DEH in Excel</t>
  </si>
  <si>
    <t>Type</t>
  </si>
  <si>
    <t>Selection</t>
  </si>
  <si>
    <t>For orders write numbers in the yellow fields please !!!</t>
  </si>
  <si>
    <t>1 or 2</t>
  </si>
  <si>
    <t>Full version for ….. clients</t>
  </si>
  <si>
    <t>Update for ….. clients</t>
  </si>
  <si>
    <t>1 = Single license for PC, Laptop, Notebook, etc.</t>
  </si>
  <si>
    <t>2 = Network license for server for ….. clients //</t>
  </si>
  <si>
    <t>3 = Unprotected DLL, based on a signed agreement</t>
  </si>
  <si>
    <t>Example</t>
  </si>
  <si>
    <t>1 Single license</t>
  </si>
  <si>
    <t>2 Single license</t>
  </si>
  <si>
    <t>1 Network license, 1 Client //</t>
  </si>
  <si>
    <t>1 Network license, 2 Clients //</t>
  </si>
  <si>
    <t>Humidifying process with water, wet steam or saturated steam</t>
  </si>
  <si>
    <t>Mixing process from 2 air flows, possibly with condensation</t>
  </si>
  <si>
    <t>Heating effect from the absorbed fan power</t>
  </si>
  <si>
    <t>Excel applications</t>
  </si>
  <si>
    <t>1 = Protected single license for PC, Laptop, Notebook, etc.</t>
  </si>
  <si>
    <t>2 = Unprotected application, based on a signed agreement</t>
  </si>
  <si>
    <t>Glycol cooler dry adiabatic hybrid V-Design-2 Container-Size</t>
  </si>
  <si>
    <t>Glycol cooler dry adiabatic hybrid V-Design-2 Big-Size</t>
  </si>
  <si>
    <t>Glycol cooler dry adiabatic hybrid H-Design-2 Container-Size</t>
  </si>
  <si>
    <t>Glycol cooler dry adiabatic hybrid H-Design-1</t>
  </si>
  <si>
    <t>Glycol cooler 1 x Hybrid, installed in air-handling units</t>
  </si>
  <si>
    <t>Glycol cooler 2 x Hybrid in series, installed in air-handling units</t>
  </si>
  <si>
    <t>Subcritical: Capillary pressure drop in the DX-Evaporator</t>
  </si>
  <si>
    <t>Supercritical: Capillary pressure drop in the DX-Evaporator</t>
  </si>
  <si>
    <t>Dew-point and wet-bulb temperature</t>
  </si>
  <si>
    <t>Flue gas cooler, shell and tube HE</t>
  </si>
  <si>
    <t>Mollier TX diagram, cooling process for gases with cond. steams</t>
  </si>
  <si>
    <t>Brine properties and efficiency comparison for CC-Systems</t>
  </si>
  <si>
    <t>Heating and cooling load eliminate with air processes</t>
  </si>
  <si>
    <t>Optimize cooling-plants with ice-banks</t>
  </si>
  <si>
    <t>Subcritical: Optimize the process in refrigerant circuits</t>
  </si>
  <si>
    <t>Introduction to applications</t>
  </si>
  <si>
    <t>Days</t>
  </si>
  <si>
    <t>Total net, prepayment:</t>
  </si>
  <si>
    <t>- Factories and dealer for heat exchanger</t>
  </si>
  <si>
    <t>- Factories and dealer for air-handling units</t>
  </si>
  <si>
    <t>Order by E-Mail please to:</t>
  </si>
  <si>
    <t>Date:</t>
  </si>
  <si>
    <t>Company:</t>
  </si>
  <si>
    <t>Branch:</t>
  </si>
  <si>
    <t>Project leader:</t>
  </si>
  <si>
    <t>Street:</t>
  </si>
  <si>
    <t>Country / ZIP / City:</t>
  </si>
  <si>
    <t>Phone:</t>
  </si>
  <si>
    <t>Applications haute language</t>
  </si>
  <si>
    <t>Sélection</t>
  </si>
  <si>
    <t>Exemple</t>
  </si>
  <si>
    <t>Humidification avec de l'eau, vapeur humide ou de vapeur saturée</t>
  </si>
  <si>
    <t>Mélange de 2 l'air, éventuellement avec condensation</t>
  </si>
  <si>
    <t>Effet du chauffage pour absorbée la puissance du ventilateur</t>
  </si>
  <si>
    <t>Applications en Excel</t>
  </si>
  <si>
    <t>Uniquement disponible en Excel!</t>
  </si>
  <si>
    <t>Glycol refroid., adiabatique, sec, hybride, V-Design-2, taille conteneurs</t>
  </si>
  <si>
    <t>Glycol refroid., adiabatique, sec, hybride, V-Design-2, grandes dim.</t>
  </si>
  <si>
    <t>Glycol refroid., adiabatique, sec, hybride, H-Design-2, taille conteneurs</t>
  </si>
  <si>
    <t>Glycol refroidisseur, adiabatique, sec, hybride, H-Design-1</t>
  </si>
  <si>
    <t>Glycol refroidisseur, 1 x hybride, installé dans le conditionneur d'air</t>
  </si>
  <si>
    <t>Glycol refroidisseur, 2 x hybride en série, installé dans le condit. d'air</t>
  </si>
  <si>
    <t>Sous-critique : Chute de pression capillaire dans le DX-Evaporateur</t>
  </si>
  <si>
    <t>Supercritique : Chute de pression capillaire dans le DX-évaporateur</t>
  </si>
  <si>
    <t>Du point de rosée et du bulbe humide température</t>
  </si>
  <si>
    <t>Mollier TX diagr., le processus de refroid. des gaz et vapeurs cond.</t>
  </si>
  <si>
    <t>Charge chauffage et de refroid., élimination avec processus d’air</t>
  </si>
  <si>
    <t>Optimiser le refroidissement avec de la glace-plantes-banques</t>
  </si>
  <si>
    <t>Sous-critique: Optimiser le processus de circuits frigorifiques</t>
  </si>
  <si>
    <t>Introduction aux applications</t>
  </si>
  <si>
    <t>Jours</t>
  </si>
  <si>
    <t>Total net, prépaiement:</t>
  </si>
  <si>
    <t>Veuillez demander le minimum de quantité!</t>
  </si>
  <si>
    <t>- Les usines et les courtiers pour échangeur</t>
  </si>
  <si>
    <t>- Les usines et les courtiers pour unités traitement d'air</t>
  </si>
  <si>
    <t>Ordre par e-mail s'il vous plaît à:</t>
  </si>
  <si>
    <t>Société:</t>
  </si>
  <si>
    <t>Direction générale:</t>
  </si>
  <si>
    <t>Chef de projet:</t>
  </si>
  <si>
    <t>Rue:</t>
  </si>
  <si>
    <t>Pays / Code postal / Ville:</t>
  </si>
  <si>
    <t>Téléphone:</t>
  </si>
  <si>
    <t>Page d'accueil:</t>
  </si>
  <si>
    <t>Upgrade</t>
  </si>
  <si>
    <t>Upgrade for ….. clients</t>
  </si>
  <si>
    <t>1 Network license, 3 Clients //</t>
  </si>
  <si>
    <t>Lufterhitzer und Luftkühler in 2 bis 4 Einheiten aufteilen.</t>
  </si>
  <si>
    <t>Riscaldatori e refrigeratori divisi in 2 a 4 unità.</t>
  </si>
  <si>
    <t>- Big factories</t>
  </si>
  <si>
    <t>- Grossfirmen</t>
  </si>
  <si>
    <t>- Grandi compagnie</t>
  </si>
  <si>
    <t>- Grandes entreprises</t>
  </si>
  <si>
    <t>CCSB Split</t>
  </si>
  <si>
    <t>CCSD Split</t>
  </si>
  <si>
    <t>CCSF Split</t>
  </si>
  <si>
    <t>CCSK Split</t>
  </si>
  <si>
    <t>CCSM Split</t>
  </si>
  <si>
    <t>Orders</t>
  </si>
  <si>
    <t>German</t>
  </si>
  <si>
    <t>English</t>
  </si>
  <si>
    <t>Italian</t>
  </si>
  <si>
    <t>French</t>
  </si>
  <si>
    <t>1: Number</t>
  </si>
  <si>
    <t>2: German</t>
  </si>
  <si>
    <t>3: English</t>
  </si>
  <si>
    <t>4: Italian</t>
  </si>
  <si>
    <t>5: French</t>
  </si>
  <si>
    <t>Remarque</t>
  </si>
  <si>
    <t>Beispiel</t>
  </si>
  <si>
    <t>AHH in Hochsprache</t>
  </si>
  <si>
    <t>MDI in Hochsprache</t>
  </si>
  <si>
    <t>AHU in Hochsprache</t>
  </si>
  <si>
    <t>Bestellungen</t>
  </si>
  <si>
    <t>Meteorologische Daten Schnittstelle, Selektion der Betriebszeiten</t>
  </si>
  <si>
    <t>Neutraler RLT-Geräte Konfigurator für Projekte</t>
  </si>
  <si>
    <t>AHH in lingua alta</t>
  </si>
  <si>
    <t>MDI in lingua alta</t>
  </si>
  <si>
    <t>AHU in lingua alta</t>
  </si>
  <si>
    <t>AHH en langage élevé</t>
  </si>
  <si>
    <t>MDI en langage élevé</t>
  </si>
  <si>
    <t>AHU en langage élevé</t>
  </si>
  <si>
    <t>EAC dans Excel</t>
  </si>
  <si>
    <t>DEH dans Excel</t>
  </si>
  <si>
    <t>Demo-Versionen</t>
  </si>
  <si>
    <t>Trial versions</t>
  </si>
  <si>
    <t>Versions d'essai</t>
  </si>
  <si>
    <t>Versioni di prova</t>
  </si>
  <si>
    <t>Ordini</t>
  </si>
  <si>
    <t>Ordres</t>
  </si>
  <si>
    <t>Interfaccia dati meteorologici, selezione del tempo di servizio</t>
  </si>
  <si>
    <t>Interface de données météorologiques, sélection du temps de service</t>
  </si>
  <si>
    <t>Configurateur Neutral Air-Handling-Unit pour les projets</t>
  </si>
  <si>
    <t>Configuratore di unità di gestione dell'aria neutra per progetti</t>
  </si>
  <si>
    <t>Confronto economico di sistemi collegati al circuito</t>
  </si>
  <si>
    <t>Comparaison économique des systèmes connectés au circuit</t>
  </si>
  <si>
    <t>Für Bestellungen schreiben Sie bitte Zahlen in die gelben Felder !!!</t>
  </si>
  <si>
    <t>Per gli ordini scrivi i numeri nei campi gialli per favore !!!</t>
  </si>
  <si>
    <t>Pour les commandes écrire des chiffres dans les champs jaunes s'il vous plaît !!!</t>
  </si>
  <si>
    <t>Vollversion für ... .. Clients</t>
  </si>
  <si>
    <t>Update für ... .. Clients</t>
  </si>
  <si>
    <t>Upgrade für ... .. Clients</t>
  </si>
  <si>
    <t>1 = Einzellizenz für PC, Laptop, Notebook usw.</t>
  </si>
  <si>
    <t>2 = Netzwerklizenz für Server für ... .. Clients //</t>
  </si>
  <si>
    <t>3 = Ungeschützte DLL, basierend auf einer unterzeichneten Vereinbarung</t>
  </si>
  <si>
    <t>1 = Geschützte Einzellizenz für PC, Laptop, Notebook usw.</t>
  </si>
  <si>
    <t>2 = Ungeschützte Anwendung, basierend auf einer unterzeichneten Vereinbarung</t>
  </si>
  <si>
    <t>Versione completa per ... .. clienti</t>
  </si>
  <si>
    <t>Aggiornamento per ... .. clienti</t>
  </si>
  <si>
    <t>1 = Licenza singola per PC, laptop, notebook, ecc.</t>
  </si>
  <si>
    <t>2 = Licenza di rete per server per ... .. client //</t>
  </si>
  <si>
    <t>3 = DLL non protetta, basata su un accordo firmato</t>
  </si>
  <si>
    <t>1 = Licenza singola protetta per PC, laptop, notebook, ecc.</t>
  </si>
  <si>
    <t>2 = Applicazione non protetta, basata su un accordo firmato</t>
  </si>
  <si>
    <t>Version complète pour ... .. clients</t>
  </si>
  <si>
    <t>Mise à jour pour ... .. clients</t>
  </si>
  <si>
    <t>Mise à niveau pour ... .. clients</t>
  </si>
  <si>
    <t>1 = licence unique pour PC, ordinateur portable, ordinateur portable, etc.</t>
  </si>
  <si>
    <t>2 = Licence réseau pour serveur pour ... .. clients //</t>
  </si>
  <si>
    <t>3 = DLL non protégée, basée sur un accord signé</t>
  </si>
  <si>
    <t>1 = licence unique protégée pour PC, ordinateur portable, ordinateur portable, etc.</t>
  </si>
  <si>
    <t>2 = Application non protégée, basée sur un accord signé</t>
  </si>
  <si>
    <t>Applikation AHH3</t>
  </si>
  <si>
    <t>Application AHH3</t>
  </si>
  <si>
    <t>Applicazione AHH3</t>
  </si>
  <si>
    <t>1 licence unique</t>
  </si>
  <si>
    <t>2 licence unique</t>
  </si>
  <si>
    <t>1 licence réseau, 1 client //</t>
  </si>
  <si>
    <t>1 licence réseau, 2 clients //</t>
  </si>
  <si>
    <t>1 licence réseau, 3 clients //</t>
  </si>
  <si>
    <t>1 licenza singola</t>
  </si>
  <si>
    <t>1 licenza di rete, 1 client //</t>
  </si>
  <si>
    <t>1 Einzellizenz</t>
  </si>
  <si>
    <t>1 Netzwerk Lizenz, 2 Clients //</t>
  </si>
  <si>
    <t>1 Netzwerk Lizenz, 3 Clients //</t>
  </si>
  <si>
    <t>2 Einzellizenzen</t>
  </si>
  <si>
    <t>1 licenza di rete, 2 clienti //</t>
  </si>
  <si>
    <t>1 licenza di rete, 3 clienti //</t>
  </si>
  <si>
    <t>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t>
  </si>
  <si>
    <t>Note</t>
  </si>
  <si>
    <t>Hinweis</t>
  </si>
  <si>
    <t>Nota</t>
  </si>
  <si>
    <t>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t>
  </si>
  <si>
    <t>Update e Upgrade sono spesso confusi. Un Update corregge bug. Entro il periodo di supporto, questo è esentasse. Dopo la fine del periodo di supporto, questo è soggetto ad un addebito in base al listino prezzi effettivamente scaricabile. Tuttavia, un Upgrade apporta le modifiche necessarie ai nuovi sistemi operativi o estensioni attraverso i quali aumenta la funzionalità dell'applicazione, che è sempre da pagare.</t>
  </si>
  <si>
    <t>Update et Upgrade sont souvent confus. Une Update corrige des bugs. Au cours de la période de soutien, ceci est exempt d'impôt. Après la fin de la période de support, ceci est soumis à une charge en fonction de la liste de prix téléchargeable réelle. Cependant, une Upgrade apporte les ajustements nécessaires aux nouveaux systèmes d'exploitation ou extensions par lesquels la fonctionnalité de l'application augmente, ce qui est toujours à payer.</t>
  </si>
  <si>
    <t>CCSJ Split</t>
  </si>
  <si>
    <t>Sommerbetrieb</t>
  </si>
  <si>
    <t>Summer service</t>
  </si>
  <si>
    <t>Service d'été</t>
  </si>
  <si>
    <t>Servizio estivo</t>
  </si>
  <si>
    <t>Available in Excel only!</t>
  </si>
  <si>
    <t>Split the air heater and air cooler in 2 to 4 units.</t>
  </si>
  <si>
    <t>Chauffeur et refroidisseur d'air divisée en 2 à 4 unités.</t>
  </si>
  <si>
    <t>Sprache</t>
  </si>
  <si>
    <t>Language</t>
  </si>
  <si>
    <t>Lingua</t>
  </si>
  <si>
    <t>Langue</t>
  </si>
  <si>
    <t>AHH</t>
  </si>
  <si>
    <t>HEH-FAN</t>
  </si>
  <si>
    <t>HEH-SR</t>
  </si>
  <si>
    <t>HEH-SR-G</t>
  </si>
  <si>
    <t>ESH</t>
  </si>
  <si>
    <t>Applikation HMH</t>
  </si>
  <si>
    <t>Application HMH</t>
  </si>
  <si>
    <t>Applicazione HMH</t>
  </si>
  <si>
    <t>Von der Seite</t>
  </si>
  <si>
    <t>Dal lato</t>
  </si>
  <si>
    <t>De côté</t>
  </si>
  <si>
    <t>Ihre Auswahl:</t>
  </si>
  <si>
    <t>Your selection:</t>
  </si>
  <si>
    <t>La tua selezione:</t>
  </si>
  <si>
    <t>Votre sélection:</t>
  </si>
  <si>
    <t>Totale netto, pagam. anticipato:</t>
  </si>
  <si>
    <t>Auf unseren Rechnungen steht: 2 Jahre kostenloser Support und Updates auf Anfrage. Senden Sie uns eine Kopie dieser Rechnung per E-Mail zusammen mit Ihrer Anfrage. Supportdefinition: Jegliche Art von Dienstleistung und Unterstützung. Download-Dateien von hochsprachigen Versionen, wie z.B. das AHHSetup.exe, unbedingt speichern für späteren selbständigen Transfer in eine andere IT-Umgebung mit der Datei LicensingTool.exe, siehe Benutzer Installations-Anleitung. Nach Ablauf der kostenlosen Supportzeit fallen ansonsten Kosten für ein Update an. Man kann jedoch ein Update/Upgrade und weitere 2 Jahre Support erwerben. Update und Upgrade werden oft miteinander verwechselt. Bei einem Update werden Fehler behoben. Innerhalb der Supportperiode ist das kostenlos. Nach Ablauf der Supportperiode ist das kostenpflichtig gemäss aktueller downloadbarer Preisliste. Ein Upgrade bringt jedoch erforderliche Anpassungen an neue Betriebssysteme oder Erweiterungen durch die der Funktionsumfang der Applikation steigt, was immer kostenpflichtig ist. Unser Support für Netzwerk-Lizenzen beschränkt sich darauf, dass die Applikation auf dem Server einwandfrei funktioniert. Für die Verknüpfung zu den Clients findet man in der Benutzer Installations-Anleitung zusätzliche Hinweise. Da jedoch Netzwerke wie auch Firewalls kundenspezifisch eingerichtet sind, muss selber dafür gesorgt werden, dass die Applikation auch bei den Clients einwandfrei funktioniert. So muss zum Beispiel auch das Port auf dem Server freigegeben werden, damit der Client überhaupt durch die Firewall zum Server kommt. Die Registration ID und der License Key ändern nur, wenn an der Hardware Veränderungen vorgenommen wurden. Das gleiche gilt für grössere Anpassungen am Betriebssystem. Wir empfehlen daher dringend, nicht in kurzen Abständen Veränderungen vorzunehmen, haben wir doch mehrheitlich Kunden, welche 5 bis 10 Jahre keine neuen Schlüssel benötigen. Im Weiteren kann vor solch wirklich unvermeidlichen Aktionen die Lizenz transferiert werden, siehe Benutzer Installations-Anleitung.</t>
  </si>
  <si>
    <t>On our invoices is written: 2 years tax-free support and updates on request. Send us a copy of this invoice by email together with your request. Support definition: Any kind of service. Download files from high level language versions, such as the AHHSetup.exe, are to save for later self-contained transfer to another IT environment under using the file LicensingTool.exe, see the user installation manual. After the free support time expires otherwise costs for an update. However, you can buy an update/upgrade and another 2 years support. 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 Our support for network licenses is limited to ensuring, that the application works properly on the server. For links to the clients, you will find additional information in the user installation manual. However, because networks as well as firewalls are customized, you have to make sure yourself, that the application works perfectly on the clients too. For example, the port on the server must be enabled, so that the client ever comes through the firewall to the server. The Registration ID and the License Key change only, if changes have been made to the hardware. The same applies to major adjustments to the operating system. We therefore strongly recommend, that you don't make any changes at short intervals, as we have a majority of customers, who don't need new keys for 5 to 10 years. Furthermore, before such really unavoidable actions, the license can be transferred, see the user installation manual.</t>
  </si>
  <si>
    <t>Sulle nostre fatture è scritto: 2 anni di supporto esente da imposte e aggiornamenti su richiesta. Inviaci una copia di questa fattura via e-mail insieme alla tua richiesta. Definizione del supporto: qualsiasi tipo di servizio. Scaricare file da versioni linguistiche di alto livello, come AHHSetup.exe, per salvarli per il successivo trasferimento autonomo in un altro ambiente IT utilizzando il file LicensingTool.exe, consultare il manuale di installazione dell'utente. Al termine del tempo di supporto gratuito, altrimenti i costi per un aggiornamento. Tuttavia, è possibile acquistare un aggiornamento / aggiornamento e un altro supporto di 2 anni. Aggiornamento e aggiornamento sono spesso confusi. Un aggiornamento corregge bug. Entro il periodo di supporto, questo è esentasse. Dopo la fine del periodo di supporto, questo è soggetto ad un addebito in base al listino prezzi effettivamente scaricabile. Tuttavia, un aggiornamento apporta le modifiche necessarie ai nuovi sistemi operativi o estensioni attraverso i quali aumenta la funzionalità dell'applicazione, che è sempre da pagare. Il nostro supporto per le licenze di rete è limitato a garantire che l'applicazione funzioni correttamente sul server. Per i collegamenti ai client, troverai ulteriori informazioni nel manuale di installazione dell'utente. Tuttavia, poiché le reti e i firewall sono personalizzati, è necessario accertarsi che l'applicazione funzioni perfettamente anche sui client. Ad esempio, la porta sul server deve essere abilitata, in modo che il client arrivi sempre attraverso il firewall sul server. L'ID di registrazione e il codice di licenza cambiano solo se sono state apportate modifiche all'hardware. Lo stesso vale per i principali adeguamenti del sistema operativo. Pertanto, consigliamo vivamente di non apportare modifiche a brevi intervalli, poiché la maggioranza dei clienti non ha bisogno di nuove chiavi da 5 a 10 anni. Inoltre, prima di tali azioni davvero inevitabili, è possibile trasferire la licenza, consultare il manuale di installazione dell'utente.</t>
  </si>
  <si>
    <t>Sur nos factures est écrit: 2 ans d'assistance hors taxe et mises à jour sur demande. Envoyez-nous une copie de cette facture par email avec votre demande. Définition de support: Tout type de service. Les fichiers téléchargés à partir de versions linguistiques de haut niveau, telles que AHHSetup.exe, doivent être sauvegardés pour un transfert autonome ultérieur dans un autre environnement informatique sous le fichier LicensingTool.exe, voir le manuel d'installation de l'utilisateur. Après expiration de la période d'assistance gratuite, sinon, les coûts d'une mise à jour sont facturés. Cependant, vous pouvez acheter une mise à jour / mise à niveau et 2 ans d'assistance supplémentaires. Mise à jour et mise à niveau sont souvent confondus. Une mise à jour corrige des bugs. Dans la période de soutien, cela est libre d'impôt. Après la fin de la période d'assistance, des frais sont facturés en fonction de la liste de prix téléchargeable réelle. Cependant, une mise à niveau apporte les ajustements nécessaires aux nouveaux systèmes d'exploitation ou extensions grâce auxquels la fonctionnalité de l'application augmente, ce qui est toujours payant. Notre assistance pour les licences réseau se limite à ce que l’application fonctionne correctement sur le serveur. Pour des liens vers les clients, vous trouverez des informations supplémentaires dans le manuel d'installation de l'utilisateur. Cependant, comme les réseaux et les pare-feu sont personnalisés, vous devez vous assurer que l’application fonctionne également parfaitement sur les clients. Par exemple, le port sur le serveur doit être activé pour que le client parvienne au serveur via le pare-feu. L'ID d'enregistrement et la clé de licence ne sont modifiés que si des modifications ont été apportées au matériel. La même chose s'applique aux principaux ajustements du système d'exploitation. Nous vous recommandons donc vivement de ne pas apporter de modifications à intervalles rapprochés, car nous avons une majorité de clients, qui n'ont pas besoin de nouvelles clés avant 5 à 10 ans. De plus, avant que de telles actions vraiment inévitables ne puissent être transférées, reportez-vous au manuel d'installation.</t>
  </si>
  <si>
    <t>Umrechnung: Temperatur - Rel. Feuchte - Abs. Feuchte</t>
  </si>
  <si>
    <t>Conversion: Temperature - Rel. Humidity - Abs. Humidity</t>
  </si>
  <si>
    <t>Conversion: Température - Rel. Humidité - Abs. Humidité</t>
  </si>
  <si>
    <t>Conversione: Temperatura - Rel. Umidità - Abs. Umidità</t>
  </si>
  <si>
    <t>Alle Applikationen</t>
  </si>
  <si>
    <t>All applications</t>
  </si>
  <si>
    <t>Toutes les applications</t>
  </si>
  <si>
    <t>Tutte le applicazioni</t>
  </si>
  <si>
    <t>Full version for 1 client, single license</t>
  </si>
  <si>
    <t>Full version for 2 clients, single license</t>
  </si>
  <si>
    <t>Update version for 1 client, single license</t>
  </si>
  <si>
    <t>Upgrade version for 3 clients, single license</t>
  </si>
  <si>
    <t>Full version for 1 client //, network license</t>
  </si>
  <si>
    <t>Full version for 4 clients //, network license</t>
  </si>
  <si>
    <t>Vollversion für 1 Client, Einzellizenz</t>
  </si>
  <si>
    <t>Vollversion für 2 Clients, Einzellizenz</t>
  </si>
  <si>
    <t>Update-Version für 1 Client, Einzellizenz</t>
  </si>
  <si>
    <t>Upgrade-Version für 3 Clients, Einzellizenz</t>
  </si>
  <si>
    <t>Vollversion für 1 Client //, Netzwerklizenz</t>
  </si>
  <si>
    <t>Vollversion für 4 Clients //, Netzwerklizenz</t>
  </si>
  <si>
    <t>Version complète pour 1 client, licence unique</t>
  </si>
  <si>
    <t>Version complète pour 2 clients, licence unique</t>
  </si>
  <si>
    <t>Version de mise à jour pour 1 client, licence unique</t>
  </si>
  <si>
    <t>Version de mise à niveau pour 3 clients, licence unique</t>
  </si>
  <si>
    <t>Version complète pour 1 client //, licence réseau</t>
  </si>
  <si>
    <t>Version complète pour 4 clients //, licence réseau</t>
  </si>
  <si>
    <t>Versione completa per 1 client, licenza singola</t>
  </si>
  <si>
    <t>Versione completa per 2 client, licenza singola</t>
  </si>
  <si>
    <t>Versione di aggiornamento per 1 client, licenza singola</t>
  </si>
  <si>
    <t>Versione di aggiornamento per 3 client, licenza singola</t>
  </si>
  <si>
    <t>Versione completa per 1 client //, licenza di rete</t>
  </si>
  <si>
    <t>Versione completa per 4 client //, licenza di rete</t>
  </si>
  <si>
    <t>Ineinander geflochtene Register für optimale Abtauleistung!</t>
  </si>
  <si>
    <t>Braided registers for optimum defrosting!</t>
  </si>
  <si>
    <t>Registres tressés pour un dégivrage optimal!</t>
  </si>
  <si>
    <t>Registri intrecciati per uno sbrinamento ottimale!</t>
  </si>
  <si>
    <t>Temperaturtrahlung und Wärmeleitung!</t>
  </si>
  <si>
    <t>Temperature radiation and conduction!</t>
  </si>
  <si>
    <t>Radiazione e conduzione della temperatura!</t>
  </si>
  <si>
    <t>Rayonnement thermique et conduction!</t>
  </si>
  <si>
    <t>The special Mollier-TX-Diagram for process engineering</t>
  </si>
  <si>
    <t>Le diagramme Mollier-TX spécial pour l'ingénierie des procédés</t>
  </si>
  <si>
    <t>Lo speciale Mollier-TX-Diagram per l'ingegneria di processo</t>
  </si>
  <si>
    <t>Das spezielle Mollier-TX-Diagramm für die Verfahrenstechnik</t>
  </si>
  <si>
    <t>DWT in Hochsprache</t>
  </si>
  <si>
    <t>DWT in high language</t>
  </si>
  <si>
    <t>DWT in lingua alta</t>
  </si>
  <si>
    <t>DWT en langage élevé</t>
  </si>
  <si>
    <t>TEM in Hochsprache</t>
  </si>
  <si>
    <t>TEM in high language</t>
  </si>
  <si>
    <t>TEM in lingua alta</t>
  </si>
  <si>
    <t>TEM en langage élevé</t>
  </si>
  <si>
    <t>Berechnung aller mittleren logarithmischen Temperaturdifferenzen</t>
  </si>
  <si>
    <t>Calculation of all mean logarithmic temperature differences</t>
  </si>
  <si>
    <t>Calcolo di tutte le differenze di temperatura logaritmiche medie</t>
  </si>
  <si>
    <t>Calcul de toutes les différences de température logarithm. moyennes</t>
  </si>
  <si>
    <t>Bestellungen können für alle Applikationen erfolgen</t>
  </si>
  <si>
    <t>Orders can be made for all applications</t>
  </si>
  <si>
    <t>Gli ordini possono essere fatti per tutte applicazioni</t>
  </si>
  <si>
    <t>Les commandes peuvent être faites pour tout les applications</t>
  </si>
  <si>
    <t>CCSE Split</t>
  </si>
  <si>
    <t>CCSU Split</t>
  </si>
  <si>
    <t>CCSN Split</t>
  </si>
  <si>
    <t>REF in Hochsprache</t>
  </si>
  <si>
    <t>REF in high language</t>
  </si>
  <si>
    <t>REF in lingua alta</t>
  </si>
  <si>
    <t>REF en langage élevé</t>
  </si>
  <si>
    <t>GLY in Hochsprache</t>
  </si>
  <si>
    <t>GLY in high language</t>
  </si>
  <si>
    <t>GLY in lingua alta</t>
  </si>
  <si>
    <t>GLY en langage élevé</t>
  </si>
  <si>
    <t>Fumi gas cooler, Scamb. del tubo</t>
  </si>
  <si>
    <t>- Fabbriche e concessionari per Scamb.</t>
  </si>
  <si>
    <t>Refroidisseur des gaz brûlés, Echang. à tube</t>
  </si>
  <si>
    <t>FRO in Hochsprache</t>
  </si>
  <si>
    <t>FRO in high language</t>
  </si>
  <si>
    <t>FRO in lingua alta</t>
  </si>
  <si>
    <t>FRO en langage élevé</t>
  </si>
  <si>
    <t>Berechnung der Abtauzeit von lamellierten Wärmetauschern</t>
  </si>
  <si>
    <t>Calculation of the defrosting time of finned heat exchangers</t>
  </si>
  <si>
    <t>Calcolo del tempo di sbrinamento degli scambiatori alettati</t>
  </si>
  <si>
    <t>Calcul du temps de dégivrage des échangeurs à ailettes</t>
  </si>
  <si>
    <t>KES in Hochsprache</t>
  </si>
  <si>
    <t>KES in high language</t>
  </si>
  <si>
    <t>KES in lingua alta</t>
  </si>
  <si>
    <t>KES en langage élevé</t>
  </si>
  <si>
    <t>Berechnung von Eisspeichern für die Kaltwasserproduktion 6/12°C</t>
  </si>
  <si>
    <t>Calcul des stockages de glace pour la production d'eau froide 6/12°C</t>
  </si>
  <si>
    <t>Calcolo accumuli ghiaccio per produzione acqua fredda 6/12°C</t>
  </si>
  <si>
    <t>Calculation of ice storages for cold water production 6/12°C</t>
  </si>
  <si>
    <t>Wirtschaftlichkeit von RLT-Geräten mit Wärmerückgewinnung</t>
  </si>
  <si>
    <t>Economy from air-handling units with energy recovery</t>
  </si>
  <si>
    <t>Economia dalle unità di tratt. dell'aria con recupero dell'energia</t>
  </si>
  <si>
    <t>Économie des unités de trait. de l'air avec récup. d'énergie</t>
  </si>
  <si>
    <t>Konvertierungen für Trockenkugel, Feuchtkugel und Taupunkt</t>
  </si>
  <si>
    <t>Conversions for dry bulb, wet bulb and dew point</t>
  </si>
  <si>
    <t>Conversioni per bulbo secco, bulbo umido e punto di rugiada</t>
  </si>
  <si>
    <t>Conversions pour bulbe sec, bulbe humide et point de rosée</t>
  </si>
  <si>
    <t>Wirtschaftlichkeitsvergleich von Kreislaufverbundsystemen</t>
  </si>
  <si>
    <t>Propriétés du l'eau salée. Comparaison de l'effic. de CC-Systèmes</t>
  </si>
  <si>
    <t>Berechnung der Rippenfusstemperatur in Luftkühlern</t>
  </si>
  <si>
    <t>Calculation of the rib foot temperature in air coolers</t>
  </si>
  <si>
    <t>Calcul de la température du pied de côte dans les aéroréfrigérants</t>
  </si>
  <si>
    <t>Calcolo della temp. del piede della costola nei refrigeratori d'aria</t>
  </si>
  <si>
    <t>RFT in Hochsprache</t>
  </si>
  <si>
    <t>RFT in high language</t>
  </si>
  <si>
    <t>RFT in lingua alta</t>
  </si>
  <si>
    <t>RFT en langage élevé</t>
  </si>
  <si>
    <t>CCSU Split, Scamb. alettato, la funzione sul lato destro</t>
  </si>
  <si>
    <t>CCSU Split, Echang. à ailettes, la fonction sur le côté droit</t>
  </si>
  <si>
    <t>HRS</t>
  </si>
  <si>
    <t>Beispiele für die Bestimmung des Preises !</t>
  </si>
  <si>
    <t>Examples of determining the price !</t>
  </si>
  <si>
    <t>Esempi di determinazione del prezzo !</t>
  </si>
  <si>
    <t>Exemples de détermination du prix !</t>
  </si>
  <si>
    <t>Thermic-Rotor</t>
  </si>
  <si>
    <t>Thermic rotor</t>
  </si>
  <si>
    <t>Desiccant-Rotor-System</t>
  </si>
  <si>
    <t>Desiccant rotor system</t>
  </si>
  <si>
    <t>Sistema rotore disseccante</t>
  </si>
  <si>
    <t>Système de rotor déshydratant</t>
  </si>
  <si>
    <t>Rotor thermique</t>
  </si>
  <si>
    <t>Rotore termico</t>
  </si>
  <si>
    <t>Desiccant-Rotor</t>
  </si>
  <si>
    <t>Desiccant rotor</t>
  </si>
  <si>
    <t>Rotore disseccante</t>
  </si>
  <si>
    <t>Rotor dessiccateur</t>
  </si>
  <si>
    <t>Desiccant-Regenerator</t>
  </si>
  <si>
    <t>Thermic-Regenerator</t>
  </si>
  <si>
    <t>Desiccant-Regenerator-System</t>
  </si>
  <si>
    <t>Thermic regenerator</t>
  </si>
  <si>
    <t>Desiccant regenerator</t>
  </si>
  <si>
    <t>Desiccant regenerator system</t>
  </si>
  <si>
    <t>Régénérateur thermique</t>
  </si>
  <si>
    <t>Dessiccateur régénérateur</t>
  </si>
  <si>
    <t>Système de régénération par dessiccation</t>
  </si>
  <si>
    <t>Rigeneratore termico</t>
  </si>
  <si>
    <t>Rigeneratore ad adsorbimento</t>
  </si>
  <si>
    <t>Sistema di rigenerazione ad adsorbimento</t>
  </si>
  <si>
    <t>Sorptions-Rotor</t>
  </si>
  <si>
    <t>Sorption rotor</t>
  </si>
  <si>
    <t>Scamb. rotore sorbimento</t>
  </si>
  <si>
    <t>Echang. à rotor sorption</t>
  </si>
  <si>
    <t>Sorption-Regenerator</t>
  </si>
  <si>
    <t>Sorption regenerator</t>
  </si>
  <si>
    <t>Rigeneratore ad assorbimento</t>
  </si>
  <si>
    <t>Régénérateur de sorption</t>
  </si>
  <si>
    <t>GHH in Hochsprache</t>
  </si>
  <si>
    <t>GHH in high language</t>
  </si>
  <si>
    <t>GHH in lingua alta</t>
  </si>
  <si>
    <t>GHH en langage élevé</t>
  </si>
  <si>
    <t>Mollier-Diagramm für Gas-Dampf-Gemische zum Dampf kondensieren</t>
  </si>
  <si>
    <t>Mollier-Diagram for gas-steam mixtures to condensing the steam</t>
  </si>
  <si>
    <t>Mollier-Schema per miscele gas-vapore per condensare il vapore</t>
  </si>
  <si>
    <t>Fin coil air heater with liquid agents, intersection point with fan</t>
  </si>
  <si>
    <t>Fin coil air cooler with liquid agents, intersection point with fan</t>
  </si>
  <si>
    <t>Fin coil refrigerant condenser, intersection point with fan</t>
  </si>
  <si>
    <t>Fin coil refrigerant DX-Evaporator, intersection point with fan</t>
  </si>
  <si>
    <t>Fin coil refrigerant RC-Evaporator, intersection point with fan</t>
  </si>
  <si>
    <t>Fin coil 2 serial air heater with liquid agents, intersection point with fan</t>
  </si>
  <si>
    <t>Lamellen-Lufterhitzer mit flüssigen Medien, Schnittpunkt mit Ventilator</t>
  </si>
  <si>
    <t>Lamellen-Luftkühler mit flüssigen Medien, Schnittpunkt mit Ventilator</t>
  </si>
  <si>
    <t>Lamellen-Kältemittel-Kondensator, Schnittpunkt mit Ventilator</t>
  </si>
  <si>
    <t>Lamellen-Kältemittel Einspritzverdampfer, Schnittpunkt mit Ventilator</t>
  </si>
  <si>
    <t>Lamellen-Kältemittel Umlaufverdampfer, Schnittpunkt mit Ventilator</t>
  </si>
  <si>
    <t>2 Lamellen-Lufterhitzer in Serie mit fl. Medien, Schnittpunkt mit Ventilator</t>
  </si>
  <si>
    <t>Aerotermo ad agenti liquidi, punto di intersezione con ventilatore</t>
  </si>
  <si>
    <t>Raffreddatore ad agenti liquidi, punto di intersezione con ventola</t>
  </si>
  <si>
    <t>Condensatore refrigerante, punto di intersezione con il ventilatore</t>
  </si>
  <si>
    <t>DX-Evaporatore refrigerante, punto di intersezione con ventilatore</t>
  </si>
  <si>
    <t>RC-Evaporatore refrigerante, punto di intersezione con ventilatore</t>
  </si>
  <si>
    <t>2 aerotermo seriale ad agenti liquidi, punto di intersezione con ventilatore</t>
  </si>
  <si>
    <t>Condenseur de réfrigérant, point d'intersection avec ventilateur</t>
  </si>
  <si>
    <t>DX-Évaporateur de réfrigérant, point d'intersection avec le ventilateur</t>
  </si>
  <si>
    <t>RC-Évaporateur RC de réfrigérant, point d'intersection avec ventilateur</t>
  </si>
  <si>
    <t>Refroidisseur d'air avec agents liquides, point d'intersec. avec ventilateur</t>
  </si>
  <si>
    <t>2 réchauf. d'air en série avec agents liquides, point d'intersec. avec venti.</t>
  </si>
  <si>
    <t>Réchauffeur d'air avec agents liquides, point d'intersection avec venti.</t>
  </si>
  <si>
    <t>Lamellen-Lufterhitzer mit flüssigen Medien</t>
  </si>
  <si>
    <t>Lamellen-Luftkühler mit flüssigen Medien</t>
  </si>
  <si>
    <t>Lamellen-Kältemittel-Kondensator</t>
  </si>
  <si>
    <t>Lamellen-Kältemittel-DX-Verdampfer - Elektrischer Defroster</t>
  </si>
  <si>
    <t>Lamellen-Kältemittel-RC-Verdampfer - Elektrischer Defroster</t>
  </si>
  <si>
    <t>Lamellen-CO2-Kühler in der überkritischen Region</t>
  </si>
  <si>
    <t>Fin coil air heater with liquid agents</t>
  </si>
  <si>
    <t>Fin coil air cooler with liquid agents</t>
  </si>
  <si>
    <t>Fin coil refrigerant condenser</t>
  </si>
  <si>
    <t>Fin coil refrigerant DX-Evaporator - Electric defroster</t>
  </si>
  <si>
    <t>Fin coil refrigerant RC-Evaporator - Electric defroster</t>
  </si>
  <si>
    <t>Fin coil CO2 cooler in the supercritical area</t>
  </si>
  <si>
    <t>Scamb. alettato aria riscaldamento con agenti liquidi</t>
  </si>
  <si>
    <t>Scamb. alettato aria fredda con agenti liquidi</t>
  </si>
  <si>
    <t>Scamb. alettato condensatore refrigerante</t>
  </si>
  <si>
    <t>Scamb. alettato DX-Evaporatore refrigerante - Sprinatore elettrico</t>
  </si>
  <si>
    <t>Scamb. alettato RC-Evaporatore refrigerante - Sprinatore elettrico</t>
  </si>
  <si>
    <t>Scamb. alettato CO2 raffreddatore nella zona supercritica</t>
  </si>
  <si>
    <t>Echang. à ailettes chauffeur d’air avec des agents liquides</t>
  </si>
  <si>
    <t>Echang. à ailettes refroidisseur d'air avec des agents liquides</t>
  </si>
  <si>
    <t>Echang. à ailettes condenseur frigorigène</t>
  </si>
  <si>
    <t>Echang. à ailettes DX-Evaporateur frigorigène - Dégivreur électrique</t>
  </si>
  <si>
    <t>Echang. à ailettes RC-Evaporateur frigorigène - Dégivreur électrique</t>
  </si>
  <si>
    <t>Echang. à ailettes CO2-Refroidisseur dans le domaine supercritique</t>
  </si>
  <si>
    <t>Lamellen-Kältemittel-DX-Verdampfer</t>
  </si>
  <si>
    <t>Lamellen-Kältemittel-RC-Verdampfer</t>
  </si>
  <si>
    <t>Lamellen-Lufterhitzer in 2 bis 4 Einheiten aufteilen</t>
  </si>
  <si>
    <t>Lamellen-Luftkühler in 2 bis 4 Einheiten aufteilen</t>
  </si>
  <si>
    <t>Lamellen-Changeover mit flüssigen Medien</t>
  </si>
  <si>
    <t>Lamellen-Changeover mit Kältemitteln</t>
  </si>
  <si>
    <t>Fin coil refrigerant DX-Evaporator</t>
  </si>
  <si>
    <t>Fin coil refrigerant RC-Evaporator</t>
  </si>
  <si>
    <t>Fin coil split air heater in 2 to 4 units</t>
  </si>
  <si>
    <t>Fin coil split air cooler in 2 to 4 units</t>
  </si>
  <si>
    <t>Fin coil changeover with liquid agents</t>
  </si>
  <si>
    <t>Fin coil changeover with refrigerants</t>
  </si>
  <si>
    <t>Scamb. alettato DX-Evaporatore refrigerante</t>
  </si>
  <si>
    <t>Scamb. alettato RC-Evaporatore refrigerante</t>
  </si>
  <si>
    <t>Scamb. alettato riscaldatori divisi in 2 a 4 unità</t>
  </si>
  <si>
    <t>Scamb. alettato refrigeratori divisi in 2 a 4 unità</t>
  </si>
  <si>
    <t>Scamb. alettato changeover con agenti liquidi</t>
  </si>
  <si>
    <t>Scamb. alettato changeover con refrigeranti</t>
  </si>
  <si>
    <t>Scamb. a piastre aria-aria flussi incrociati 1x</t>
  </si>
  <si>
    <t>Scamb. a piastre aria-aria flussi incrociati 2x</t>
  </si>
  <si>
    <t>Scamb. a piastre aria-aria controcorrente 1x</t>
  </si>
  <si>
    <t>Echang. à ailettes DX-Evaporateur frigorigène</t>
  </si>
  <si>
    <t>Echang. à ailettes RC-Evaporateur frigorigène</t>
  </si>
  <si>
    <t>Echang. à ailettes chauffeur d'air divisée en 2 à 4 unités</t>
  </si>
  <si>
    <t>Echang. à ailettes refroidisseur d'air divisée en 2 à 4 unités</t>
  </si>
  <si>
    <t>Echang. à ailettes changeover avec des agents liquides</t>
  </si>
  <si>
    <t>Echang. à ailettes changeover avec des frigorigènes</t>
  </si>
  <si>
    <t>Platten-WT Luft-Luft 1-facher Kreuzstrom</t>
  </si>
  <si>
    <t>Plate HE air to air 1x cross flow</t>
  </si>
  <si>
    <t>Echang. à plaques air-air 1 débit croix</t>
  </si>
  <si>
    <t>Platten-WT Luft-Luft 2-facher Kreuzstrom</t>
  </si>
  <si>
    <t>Plate HE air to air 2x cross flow</t>
  </si>
  <si>
    <t>Echang. à plaques air-air 2 débits croix</t>
  </si>
  <si>
    <t>Platten-WT Luft-Luft 1-facher Gegenstrom</t>
  </si>
  <si>
    <t>Plate HE air to air 1x counter flow</t>
  </si>
  <si>
    <t>Echang. à plaques air-air 1 contre-courant</t>
  </si>
  <si>
    <t>Plate heat exchanger air to air 1x cross flow</t>
  </si>
  <si>
    <t>Plate heat exchanger air to air 2x cross flow</t>
  </si>
  <si>
    <t>Thermic-Rotor-WT Luft-Luft</t>
  </si>
  <si>
    <t>Thermic rotor heat exchanger air to air</t>
  </si>
  <si>
    <t>Scamb. rotore termico aria-aria</t>
  </si>
  <si>
    <t>Echang. à rotor thermique air-air</t>
  </si>
  <si>
    <t>Glattrohr-WT Luft-Luft 1 x Kreuzstrom Abluft aussen</t>
  </si>
  <si>
    <t>Smooth tube HE air to air 1 cross flow exhaust outside</t>
  </si>
  <si>
    <t>Scamb. tubo liscio aria-aria 1x flusso trasv. scarico all'esterno</t>
  </si>
  <si>
    <t>Echang. à tubes lisses air-air 1 débit croix évacuation à l'extérieur</t>
  </si>
  <si>
    <t>Glattrohr-WT Luft-Luft 2 x Kreuzstrom Abluft aussen</t>
  </si>
  <si>
    <t>Smooth tube HE air to air 2 cross flow exhaust outside</t>
  </si>
  <si>
    <t>Scamb. tubo liscio aria-aria 2x flusso trasv. scarico all'esterno</t>
  </si>
  <si>
    <t>Echang. à tubes lisses air-air 2 débits croix évacuation à l'extérieur</t>
  </si>
  <si>
    <t>Glattrohr-WT Luft-Luft 1 x Kreuzstrom Abluft innen</t>
  </si>
  <si>
    <t>Smooth tube HE air to air 1 cross flow exhaust inside</t>
  </si>
  <si>
    <t>Scamb. tubo liscio aria-aria 1x flusso trasv. di scarico all'interno</t>
  </si>
  <si>
    <t>Echang. à tubes lisses air-air 1 débit croix évacuation à l'intérieur</t>
  </si>
  <si>
    <t>Glattrohr-WT Luft-Luft 2 x Kreuzstrom Abluft innen</t>
  </si>
  <si>
    <t>Smooth tube HE air to air 2 cross flow exhaust inside</t>
  </si>
  <si>
    <t>Scamb. tubo liscio aria-aria 2x flusso trasvers. di scarico all'interno</t>
  </si>
  <si>
    <t>Echang. à tubes lisses air-air 2 débits croix évacuation à l'intérieur</t>
  </si>
  <si>
    <t>CCSB Split Scamb. alettato la funzione sul lato destro</t>
  </si>
  <si>
    <t>CCSB Split Echang. à ailettes la fonction sur le côté droit</t>
  </si>
  <si>
    <t>CCSD Split Scamb. alettato la funzione sul lato destro</t>
  </si>
  <si>
    <t>CCSD Split Echang. à ailettes la fonction sur le côté droit</t>
  </si>
  <si>
    <t>CCSE Split Scamb. alettato la funzione sul lato destro</t>
  </si>
  <si>
    <t>CCSE Split Echang. à ailettes la fonction sur le côté droit</t>
  </si>
  <si>
    <t>CCSF Split Scamb. alettato la funzione sul lato destro</t>
  </si>
  <si>
    <t>CCSF Split Echang. à ailettes la fonction sur le côté droit</t>
  </si>
  <si>
    <t>CCSN Split Scamb. alettato la funzione sul lato destro</t>
  </si>
  <si>
    <t>CCSN Split Echang. à ailettes la fonction sur le côté droit</t>
  </si>
  <si>
    <t>CCSJ Split Scamb. alettato la funzione sul lato destro</t>
  </si>
  <si>
    <t>CCSJ Split Echang. à ailettes la fonction sur le côté droit</t>
  </si>
  <si>
    <t>CCSK Split Scamb. alettato la funzione sul lato destro</t>
  </si>
  <si>
    <t>CCSK Split Echang. à ailettes la fonction sur le côté droit</t>
  </si>
  <si>
    <t>CCSM Split Scamb. alettato la funzione sul lato destro</t>
  </si>
  <si>
    <t>CCSM Split Echang. à ailettes la fonction sur le côté droit</t>
  </si>
  <si>
    <t>Scamb. alettato aria fredda con agenti liquidi - Sprinatore elettrico</t>
  </si>
  <si>
    <t>Echang. à ailettes refroid. d'air avec des agents liquides - Dég. électrique</t>
  </si>
  <si>
    <t>Lamellen-Luftkühler mit flüssigen Medien - Elektrischer Defroster</t>
  </si>
  <si>
    <t>Fin coil air cooler with liquid agents - Electric defroster</t>
  </si>
  <si>
    <t>Lamellen-Luftkühler mit fl. Medien - Defroster mit fl. Medien</t>
  </si>
  <si>
    <t>Fin coil air cooler with liquid agents - Defroster with liquid agents</t>
  </si>
  <si>
    <t>Scamb. alettato aria fredda con agenti liquidi - Sbrin. con agenti liquidi</t>
  </si>
  <si>
    <t>Echang. à ailettes refroid. d'air avec agents liquides - Dég. ag. liquides</t>
  </si>
  <si>
    <t>Lamellen-Kältemittel-DX-Verdampfer - Defroster mit fl. Medien</t>
  </si>
  <si>
    <t>Fin coil refrigerant DX-Evaporator - Defroster with liquid agents</t>
  </si>
  <si>
    <t>Scamb. alettato DX-Evaporatore refrigerante - Sbrin. Con agenti liquidi</t>
  </si>
  <si>
    <t>Echang. à ailettes DX-Evaporateur frigorigène - Dég. ag. Liquides</t>
  </si>
  <si>
    <t>Lamellen-Kältemittel-RC-Verdampfer - Defroster mit fl. Medien</t>
  </si>
  <si>
    <t>Fin coil refrigerant RC-Evaporator - Defroster with liquid agents</t>
  </si>
  <si>
    <t>Scamb. alettato RC-Evaporatore refrigerante - Sbrin. Con agenti liquidi</t>
  </si>
  <si>
    <t>Echang. à ailettes RC-Evaporateur frigorigène - Dég. ag. Liquides</t>
  </si>
  <si>
    <t>Lamellen-Kältemittel-Heissgaskühler</t>
  </si>
  <si>
    <t>Fin coil refrigerant hot gas cooler</t>
  </si>
  <si>
    <t>Scamb. alettato refrigeratore a gas caldo refrigerante</t>
  </si>
  <si>
    <t>Echang. à ailettes réfroidisseur de gaz réfrigérant</t>
  </si>
  <si>
    <t>Lamellen-Changeover CO2 superkritisch</t>
  </si>
  <si>
    <t>Fin coil changeover CO2 supercritical</t>
  </si>
  <si>
    <t>Scamb. alettato changeover CO2 Supercritico</t>
  </si>
  <si>
    <t>Echang. à ailettes changeover CO2 supercritique</t>
  </si>
  <si>
    <t>Lamellen-Kühler von Druckgas mit Dämpfen in den Rohren</t>
  </si>
  <si>
    <t>Fin coil cooler of pressurized gas with vapors in the tubes</t>
  </si>
  <si>
    <t>Scamb. alettato raffreddamento di gas pressurizzato con vapori nei tubi</t>
  </si>
  <si>
    <t>Echang. à ailettes refroid. du gaz sous pre. avec vapeurs dans les tubes</t>
  </si>
  <si>
    <t>Spiralrippen-Lufterhitzer mit flüssigen Medien</t>
  </si>
  <si>
    <t>Spiralrippen-Luftkühler mit flüssigen Medien</t>
  </si>
  <si>
    <t>Spiralrippen-Kältemittel und Dampf Kondensator</t>
  </si>
  <si>
    <t>Spiralrippen-Kältemittel Einspritzverdampfer</t>
  </si>
  <si>
    <t>Spiralrippen-Kältemittel Umlaufverdampfer</t>
  </si>
  <si>
    <t>Spiral rib air heater with liquid agents</t>
  </si>
  <si>
    <t>Spiral rib air cooler with liquid agents</t>
  </si>
  <si>
    <t>Spiral rib refrigerant and steam condenser</t>
  </si>
  <si>
    <t>Spiral rib refrigerant DX-Evaporator</t>
  </si>
  <si>
    <t>Spiral rib refrigerant RC-Evaporator</t>
  </si>
  <si>
    <t>Spirale fin Scamb. riscaldatore d’aria con agenti liquidi</t>
  </si>
  <si>
    <t>Échangeur à spiralé fin chauffeur d'air avec des agents liquides</t>
  </si>
  <si>
    <t>Spirale fin Scamb. raffreddatore d’aria con agenti liquidi</t>
  </si>
  <si>
    <t>Échangeur à spiralé fin refroidisseur d'air avec des agents liquides</t>
  </si>
  <si>
    <t>Spirale fin Scamb. condensatore refrigerante e vapore</t>
  </si>
  <si>
    <t>Échangeur à spiralé fin condenseur frigorigène et vapeur</t>
  </si>
  <si>
    <t>Spirale fin Scamb. DX-evaporatore refrigerante</t>
  </si>
  <si>
    <t>Échangeur à spiralé fin DX-Evaporateur frigorigène</t>
  </si>
  <si>
    <t>Spirale fin Scamb. RC-Evaporatore refrigerante</t>
  </si>
  <si>
    <t>Échangeur à spiralé fin RC-Evaporateur frigorigène</t>
  </si>
  <si>
    <t>Rohrbündelwärmetauscher-Kühler für Rauchgas, Luft &amp; Druckluft</t>
  </si>
  <si>
    <t>Shell and tube heat exchanger cooler for flue gas, air &amp; compr. air</t>
  </si>
  <si>
    <t>Scamb. calore fascio tubiero raffredd. per fumi, aria e aria compr.</t>
  </si>
  <si>
    <t>Échangeur chaleur tubes refroid. pour gaz comb., air et air compr.</t>
  </si>
  <si>
    <t>CCSB KV-System-Berechnung - Funktion siehe rechts</t>
  </si>
  <si>
    <t>CCSD KV-System-Berechnung - Funktion siehe rechts</t>
  </si>
  <si>
    <t>CCSF KV-System-Berechnung - Funktion siehe rechts</t>
  </si>
  <si>
    <t>CCSB heat recovery calculation - Function on the right side</t>
  </si>
  <si>
    <t>CCSD heat recovery calculation - Function on the right side</t>
  </si>
  <si>
    <t>CCSF heat recovery calculation - Function on the right side</t>
  </si>
  <si>
    <t>CCSB calcolo del recupero di calore - Funzione sul lato destro</t>
  </si>
  <si>
    <t>CCSD calcolo del recupero di calore - Funzione sul lato destro</t>
  </si>
  <si>
    <t>CCSF calcolo del recupero di calore - Funzione sul lato destro</t>
  </si>
  <si>
    <t>CCSB calcul de la récupération de chaleur - Fonction sur le côté droit</t>
  </si>
  <si>
    <t>CCSD calcul de la récupération de chaleur - Fonction sur le côté droit</t>
  </si>
  <si>
    <t>CCSF calcul de la récupération de chaleur - Fonction sur le côté droit</t>
  </si>
  <si>
    <t>CCSB Split Lamellen-WT - Funktion siehe rechts</t>
  </si>
  <si>
    <t>CCSD Split Lamellen-WT - Funktion siehe rechts</t>
  </si>
  <si>
    <t>CCSE Split Lamellen-WT - Funktion siehe rechts</t>
  </si>
  <si>
    <t>CCSF Split Lamellen-WT - Funktion siehe rechts</t>
  </si>
  <si>
    <t>CCSN Split Lamellen-WT - Funktion siehe rechts</t>
  </si>
  <si>
    <t>CCSJ Split Lamellen-WT - Funktion siehe rechts</t>
  </si>
  <si>
    <t>CCSK Split Lamellen-WT - Funktion siehe rechts</t>
  </si>
  <si>
    <t>CCSM Split Lamellen-WT - Funktion siehe rechts</t>
  </si>
  <si>
    <t>CCSB Split Fin coil HE - Function on the right side</t>
  </si>
  <si>
    <t>CCSD Split Fin coil HE - Function on the right side</t>
  </si>
  <si>
    <t>CCSE Split Fin coil HE - Function on the right side</t>
  </si>
  <si>
    <t>CCSF Split Fin coil HE - Function on the right side</t>
  </si>
  <si>
    <t>CCSN Split Fin coil HE - Function on the right side</t>
  </si>
  <si>
    <t>CCSJ Split Fin coil HE - Function on the right side</t>
  </si>
  <si>
    <t>CCSK Split Fin coil HE - Function on the right side</t>
  </si>
  <si>
    <t>CCSM Split Fin coil HE - Function on the right side</t>
  </si>
  <si>
    <t>CCSU Split Lamellen-WT - Funktion siehe rechts</t>
  </si>
  <si>
    <t>CCSU Split fin coil HE - Function on the right side</t>
  </si>
  <si>
    <t>Kältemittelkreislauf - Kondensator und Verdampfer optimieren</t>
  </si>
  <si>
    <t>Refrigerant circuit - Condenser and evaporator optimize</t>
  </si>
  <si>
    <t>Ottimizzazione del circuito frigorifero - Ccondensatore e evaporatore</t>
  </si>
  <si>
    <t>Optimisation du circuit frigorifique - Condenseur et évaporateur</t>
  </si>
  <si>
    <t>Mollier-Schéma pour les mélanges gaz-vapeur pour cond. la vapeur</t>
  </si>
  <si>
    <t>Selektion diverser Lamellen-Lufterhitzer mit flüssigen Medien</t>
  </si>
  <si>
    <t>Selektion diverser Lamellen-Kältemittel-Kondensator</t>
  </si>
  <si>
    <t>Selektion diverser Lamellen-Luftkühler mit flüssigen Medien</t>
  </si>
  <si>
    <t>Selektion diverser Lamellen-Kältemittel-DX-Verdampfer</t>
  </si>
  <si>
    <t>Selection of diverse fin coil air heater with liquid agents</t>
  </si>
  <si>
    <t>Selection of diverse fin coil air cooler with liquid agents</t>
  </si>
  <si>
    <t>Selection of diverse fin coil refrigerant condenser</t>
  </si>
  <si>
    <t>Selection of diverse fin coil refrigerant DX-Evaporator</t>
  </si>
  <si>
    <t>Selezione di diversi scamb. alettato aria riscaldamento con agenti liquidi</t>
  </si>
  <si>
    <t>Selezione di diversi scamb. alettato aria fredda con agenti liquidi</t>
  </si>
  <si>
    <t>Selezione di diversi scamb. alettato condensatore refrigerante</t>
  </si>
  <si>
    <t>Selezione di diversi scamb. alettato DX-Evaporatore refrigerante</t>
  </si>
  <si>
    <t>Sélection de diverse echang. à ailettes condenseur frigorigène</t>
  </si>
  <si>
    <t>Sélection de diverse echang. à ailettes DX-Evaporateur frigorigène</t>
  </si>
  <si>
    <t>Sél. de diverse echang. à ailettes chauffeur d’air avec des agents liquides</t>
  </si>
  <si>
    <t>Sél. de diverse echang. à ailettes refroid. d'air avec des agents liquides</t>
  </si>
  <si>
    <t>Lamellen-Luftkühler mit flüssigen Medien im Gleichstrom</t>
  </si>
  <si>
    <t>Fin coil air cooler with liquid agents on cocurrent</t>
  </si>
  <si>
    <t>Echang. à ailettes refroidisseur d'air avec des agents liquides à cocourant</t>
  </si>
  <si>
    <t>Scamb. alettato aria fredda con agenti liquidi in cocorrente</t>
  </si>
  <si>
    <t>Selektion diverser Lamellen-Kältemittel-RC-Verdampfer</t>
  </si>
  <si>
    <t>Selection of diverse fin coil refrigerant RC-Evaporator</t>
  </si>
  <si>
    <t>Selezione di diversi scamb. alettato RC-Evaporatore refrigerante</t>
  </si>
  <si>
    <t>Sélection de diverse echang. à ailettes RC-Evaporateur frigorigène</t>
  </si>
  <si>
    <t>Für Kunden in der Schweiz wird mit dem vorgeschriebenen Monatsmittelkurs in CHF fakturiert</t>
  </si>
  <si>
    <t>Customers in Switzerland are invoiced in CHF at the prescribed monthly average rate</t>
  </si>
  <si>
    <t>I clienti in Svizzera vengono fatturati in CHF alla tariffa media mensile prescritta</t>
  </si>
  <si>
    <t>Les clients en Suisse sont facturés en CHF au tarif moyen mensuel prescrit</t>
  </si>
  <si>
    <t>Vollversion für 1 ungeschützte Anwendung</t>
  </si>
  <si>
    <t>Full version for 1 unprotected application</t>
  </si>
  <si>
    <t>Versione completa per 1 applicazione non protetta</t>
  </si>
  <si>
    <t>Version complète pour 1 application non protégée</t>
  </si>
  <si>
    <t>Preisbeispiele</t>
  </si>
  <si>
    <t>Esempi di prezzo</t>
  </si>
  <si>
    <t>Exemples de prix</t>
  </si>
  <si>
    <t>Price examples</t>
  </si>
  <si>
    <t>Wenig angewendete Energierückgewinnungssysteme</t>
  </si>
  <si>
    <t>Selten angewendete Energierückgewinnungssysteme</t>
  </si>
  <si>
    <t>Commonly used energy recovery systems</t>
  </si>
  <si>
    <t>Little used energy recovery systems</t>
  </si>
  <si>
    <t>Rarely used energy recovery systems</t>
  </si>
  <si>
    <t>Häufig angewandte Energierückgewinnungssysteme</t>
  </si>
  <si>
    <t>Sistemi di recupero energetico di uso comune</t>
  </si>
  <si>
    <t>Sistemi di recupero energetico poco utilizzati</t>
  </si>
  <si>
    <t>Systèmes de récupération d'énergie couramment utilisés</t>
  </si>
  <si>
    <t>Systèmes de récupération d'énergie peu utilisés</t>
  </si>
  <si>
    <t>Systèmes de récupération d'énergie rarement utilisés</t>
  </si>
  <si>
    <t>Sistemi di recupero energetico usati raramente</t>
  </si>
  <si>
    <t>Dipl.-Ing. Marin Zeller FH, VDI</t>
  </si>
  <si>
    <t>Evaporativ-Glattrohr-Kondensator</t>
  </si>
  <si>
    <t>Split-Evaporativ-Glattrohr-Kondensator</t>
  </si>
  <si>
    <t>Evaporativ-Glattrohr-Kühler</t>
  </si>
  <si>
    <t>Split-Evaporativ-Glattrohr-Kühler</t>
  </si>
  <si>
    <t>Evaporative-Smooth-Tube-Condenser</t>
  </si>
  <si>
    <t>Split evaporative-Smooth-Tube-Condenser</t>
  </si>
  <si>
    <t>Evaporative-Smooth-Tube-Cooler</t>
  </si>
  <si>
    <t>Split evaporative-Smooth-Tube-Cooler</t>
  </si>
  <si>
    <t>Condensatore evaporativo nudo tubo</t>
  </si>
  <si>
    <t>Split condensatore evaporativo nudo tubo</t>
  </si>
  <si>
    <t>Refrigeratore evaporativo nudo tubo</t>
  </si>
  <si>
    <t>Split refrigeratore evaporativo nudo tubo</t>
  </si>
  <si>
    <t>Evaporative condensateur</t>
  </si>
  <si>
    <t>Split evaporative condensateur</t>
  </si>
  <si>
    <t>Evaporative refroidisseur</t>
  </si>
  <si>
    <t>Split evaporative refroidisseur</t>
  </si>
  <si>
    <t>CCSX Interne Schaltung für KV-WT zeichnen</t>
  </si>
  <si>
    <t>CCSX Draw internal coupling for CCS fin coil heat exchanger</t>
  </si>
  <si>
    <t>CCSX Disegnare circuito interno per CCS Scamb. alettato</t>
  </si>
  <si>
    <t>SIC Interne Schaltung für Standard-WT zeichnen</t>
  </si>
  <si>
    <t>SIC Draw internal coupling for standard fin coil heat exchanger</t>
  </si>
  <si>
    <t>SIC Draw raccordo interno per scamb. di calore a pacco alettato standard</t>
  </si>
  <si>
    <t>SIC Draw accoupl. interne pour échangeur de chaleur à ailettes standard</t>
  </si>
  <si>
    <t>CCSX Dessinez circuit interne pour CCS l'échangeur à ailettes</t>
  </si>
  <si>
    <t>HEH-VAC</t>
  </si>
  <si>
    <t>Vakuum-Wasserdampf-Kühler mit flüssigen Medien - Elektrischer Defroster</t>
  </si>
  <si>
    <t>Vakuum-Wasserdampf-DX-Verdampfer - Elektrischer Defroster</t>
  </si>
  <si>
    <t>Vakuum-WasserdampfRC-Verdampfer - Elektrischer Defroster</t>
  </si>
  <si>
    <t>Vacuum water vapor cooler with liquid media - Electric defroster</t>
  </si>
  <si>
    <t>Vacuum Water Vapor DX Evaporator - Electric Defroster</t>
  </si>
  <si>
    <t>Vacuum Water Vapor RC Evaporator - Electric Defroster</t>
  </si>
  <si>
    <t>Raffreddatore sottovuoto a vapore acqueo con fluidi - Sbrinatore elettrico</t>
  </si>
  <si>
    <t>Evaporatore a vapore acqueo DX sottovuoto - Sbrinatore elettrico</t>
  </si>
  <si>
    <t>Evaporatore sottovuoto a vapore acqueo RC - Sbrinatore elettrico</t>
  </si>
  <si>
    <t>Évaporateur à vapeur d'eau sous vide DX - Dégivreur électrique</t>
  </si>
  <si>
    <t>Évaporateur RC à vapeur d'eau sous vide - Dégivrage électrique</t>
  </si>
  <si>
    <t>Refroid. de vapeur d'eau sous vide à média liquide - Dégivrage électrique</t>
  </si>
  <si>
    <t>Spiralrippen-Gaskühler mit flüssigen Medien- Elektrischer Defroster</t>
  </si>
  <si>
    <t>Spiralrippen-Gaskühler als Einspritzverdampfer - Elektrischer Defroster</t>
  </si>
  <si>
    <t>Spiralrippen-Gaskühler als Umlaufverdampfer - Elektrischer Defroster</t>
  </si>
  <si>
    <t>Spiral rib gas cooler with liquid agents - Electric defroster</t>
  </si>
  <si>
    <t>Spiral rib gas DX-Evaporator with refrigerants - Electric defroster</t>
  </si>
  <si>
    <t>Spiral rib gas RC-Evaporator with refrigerants - Electric defroster</t>
  </si>
  <si>
    <t>Spirale fin Scamb. raffreddatore per gas con agenti liquidi - Sprin. elettrico</t>
  </si>
  <si>
    <t>Spirale fin Scamb. DX-evaporatore refrigerante per gas - Sprin. elettrico</t>
  </si>
  <si>
    <t>Spirale fin Scamb. RC-evaporatore refrigerante per gas - Sprin. elettrico</t>
  </si>
  <si>
    <t>Échangeur à spiralé fin DX-Evaporateur frigorigènes pour gaz - Dég. Élet.</t>
  </si>
  <si>
    <t>Échangeur à spiralé fin RC-Evaporateur frigorigènes pour gaz - Dég. Élet.</t>
  </si>
  <si>
    <t>Échangeur à spiralé fin refroid. pour gaz avec des agents liq. - Dég. Élet.</t>
  </si>
  <si>
    <t>HEH-G</t>
  </si>
  <si>
    <t>Lamellen-Gaskühler mit flüssigen Medien- Elektrischer Defroster</t>
  </si>
  <si>
    <t>Lamellen-Gaskühler als Einspritzverdampfer - Elektrischer Defroster</t>
  </si>
  <si>
    <t>Lamellen-Gaskühler als Umlaufverdampfer - Elektrischer Defroster</t>
  </si>
  <si>
    <t>Fin coil gas cooler with liquid agents - Electric defroster</t>
  </si>
  <si>
    <t>Fin coil gas DX-Evaporator with refrigerants - Electric defroster</t>
  </si>
  <si>
    <t>Fin coil gas RC-Evaporator with refrigerants - Electric defroster</t>
  </si>
  <si>
    <t>Scamb. alettato raffreddatore per gas con agenti liquidi - Sprin. elettrico</t>
  </si>
  <si>
    <t>Scamb. alettato DX-evaporatore refrigerante per gas - Sprin. elettrico</t>
  </si>
  <si>
    <t>Scamb. alettato RC-evaporatore refrigerante per gas - Sprin. elettrico</t>
  </si>
  <si>
    <t>Échang. à ailettes fin refroid. pour gaz avec des agents liq. - Dég. Élet.</t>
  </si>
  <si>
    <t>Échang. à ailettes fin DX-Evaporateur frigorigènes pour gaz - Dég. Élet.</t>
  </si>
  <si>
    <t>Échang. à ailettes fin RC-Evaporateur frigorigènes pour gaz - Dég. Élet.</t>
  </si>
  <si>
    <t>Anwendbar für beliebige Gase, wie zum Beispiel Luft, welche umweltschädliche Dämpfe enthalten, welche man durch Abkühlung auskondensieren und abscheiden kann. Die Dämpfe sind in der Praxis Gemische von Wasserdampf und umweltschädlichen Dämpfen, wie zum Beispiel Azeton. Für diese kommen die Gesetze von  Raoult und Dalton zur Anwendung, welche beschreiben, wie sich der Partialdruck dieses Gemisches berechnen lässt.</t>
  </si>
  <si>
    <t>Applicable for any gases, such as air, which contain environmentally harmful vapors, which can be condensed and separated by cooling. The vapors are in practice mixtures of water vapor and environmentally harmful vapors such as acetone. For this, the laws of Raoult and Dalton are used, which describe how the partial pressure of this mixture can be calculated.</t>
  </si>
  <si>
    <t>Applicabile a tutti i gas, come l'aria, che contengono vapori dannosi per l'ambiente, che possono essere condensati e separati mediante raffreddamento. I vapori sono in pratica miscele di vapore acqueo e vapori dannosi per l'ambiente come l'acetone. Per questo vengono utilizzate le leggi di Raoult e Dalton, che descrivono come si può calcolare la pressione parziale di questa miscela.</t>
  </si>
  <si>
    <t>Applicable à tous les gaz, tels que l'air, qui contiennent des vapeurs nocives pour l'environnement, qui peuvent être condensées et séparées par refroidissement. Les vapeurs sont en pratique des mélanges de vapeur d'eau et de vapeurs nocives pour l'environnement telles que l'acétone. Pour cela, on utilise les lois de Raoult et Dalton qui décrivent comment la pression partielle de ce mélange peut être calculée.</t>
  </si>
  <si>
    <t>Example: t = 30 °C</t>
  </si>
  <si>
    <t>Acetone: xA = 0.2, pA = 37960 Pa</t>
  </si>
  <si>
    <t>Water: xB = 0.8, pB = 4247 Pa</t>
  </si>
  <si>
    <t>Mixture: p = 0.2 x 37960 + 0.8 x 4247 = 10990 Pa</t>
  </si>
  <si>
    <t>CCSU, Rückgewinnung schädlicher Dämpfe mit Lamellen-WT</t>
  </si>
  <si>
    <t>CCSU, Harmful vapor recovery with fin coil heat exchangers</t>
  </si>
  <si>
    <t>CCSU, Récupération des vapeurs nocives avec échang. à ailettes</t>
  </si>
  <si>
    <t>CCSU, Recupero di vapori nocivi con scambiatore alettato</t>
  </si>
  <si>
    <t>HDH in Hochsprache</t>
  </si>
  <si>
    <t>HDH in high language</t>
  </si>
  <si>
    <t>HDH in lingua alta</t>
  </si>
  <si>
    <t>HDH en langage élevé</t>
  </si>
  <si>
    <t>CLR in Hochsprache</t>
  </si>
  <si>
    <t>CLR in high language</t>
  </si>
  <si>
    <t>CLR in lingua alta</t>
  </si>
  <si>
    <t>CLR en langage élevé</t>
  </si>
  <si>
    <t>HLR in Hochsprache</t>
  </si>
  <si>
    <t>HLR in high language</t>
  </si>
  <si>
    <t>HLR in lingua alta</t>
  </si>
  <si>
    <t>HLR en langage élevé</t>
  </si>
  <si>
    <t>Berechnung der Heizgradtage und Kühlgradtage</t>
  </si>
  <si>
    <t>Berechnung der Kühllast von Räumen</t>
  </si>
  <si>
    <t>Berechnung der Heizlast von Räumen</t>
  </si>
  <si>
    <t>Calculation of heating degree days and cooling degree days</t>
  </si>
  <si>
    <t>Calculation of the cooling load of rooms</t>
  </si>
  <si>
    <t>Calculation of the heating load of rooms</t>
  </si>
  <si>
    <t>Calcul de la charge de refroidissement des pièces</t>
  </si>
  <si>
    <t>Calcul de la charge de chauffage des pièces</t>
  </si>
  <si>
    <t>Calcolo del carico di raffrescamento dei locali</t>
  </si>
  <si>
    <t>Calcolo del carico termico degli ambienti</t>
  </si>
  <si>
    <t>Calcolo dei gradi giorno di riscald. e dei gradi giorno di raffresc.</t>
  </si>
  <si>
    <t>Calcul des degrés-jours de chauff. et des degrés-jours de refroid.</t>
  </si>
  <si>
    <t>DEH</t>
  </si>
  <si>
    <t>Diagramma di Mollier &amp; Carrier, processi aerei, dati meteorologici</t>
  </si>
  <si>
    <t>Diagramme Mollier &amp; Carrier, processus aériens, données météorologiques</t>
  </si>
  <si>
    <t>From the page</t>
  </si>
  <si>
    <t>SIC</t>
  </si>
  <si>
    <t>CCSX</t>
  </si>
  <si>
    <t>AHH-Basis-Version</t>
  </si>
  <si>
    <t>AHH-Basic-Version</t>
  </si>
  <si>
    <t>AHH-Versione-Base</t>
  </si>
  <si>
    <t>AHH-Version-Base</t>
  </si>
  <si>
    <t>Mollier- &amp; Carrier-Diagramm, Luftprozesse, meteorologische Daten</t>
  </si>
  <si>
    <t>Mollier-Diagram &amp; Psychrometric-Chart, air processes, meteorological data</t>
  </si>
  <si>
    <t>Fragen Sie bitte die minimale Menge an!</t>
  </si>
  <si>
    <t>Would you inquire the minimum of quantity please!</t>
  </si>
  <si>
    <t>14 multilingual applications for air conditioning</t>
  </si>
  <si>
    <t>14 applications multilingues pour la climatisation</t>
  </si>
  <si>
    <t>14 applicazioni multilingue per la climatizzazione</t>
  </si>
  <si>
    <t>14 mehrsprachige Anwendungen für die Klimatisierung</t>
  </si>
  <si>
    <t>Available from April 2023!</t>
  </si>
  <si>
    <t>Lieferbar ab April 2023!</t>
  </si>
  <si>
    <t>Disponibile da aprile 2023!</t>
  </si>
  <si>
    <t>Disponible à partir d'avril 2023!</t>
  </si>
  <si>
    <t>+41 79 222 66 42</t>
  </si>
  <si>
    <t>Plus!</t>
  </si>
  <si>
    <t>Più!</t>
  </si>
  <si>
    <t>For air handling units, the maximum dimensions BT and RH for the finned heat exchanger including the frame are known. You want to determine the optimal finned heat exchanger from a number of different geometries, for example from different manufacturers. The HES applications offer this selection by first calculating up to 40 different finned heat exchangers with a macro and displaying the relevant selection criteria. The optimum finned heat exchanger can be selected from these.</t>
  </si>
  <si>
    <t>Per i condizionatori sono note le dimensioni massime BT e RH per lo scambiatore di calore alettato compreso il telaio. Si desidera determinare lo scambiatore di calore alettato ottimale da diverse geometrie, ad esempio di diversi produttori. Le applicazioni HES offrono questa selezione calcolando prima fino a 40 diversi scambiatori di calore alettati con una macro e visualizzando i relativi criteri di selezione. Tra questi è possibile selezionare lo scambiatore di calore alettato ottimale.</t>
  </si>
  <si>
    <t>Pour les climatiseurs, les dimensions maximales BT et RH pour l'échangeur à ailettes, châssis compris, sont connues. Vous souhaitez déterminer l'échangeur de chaleur à ailettes optimal à partir d'un certain nombre de géométries différentes, par exemple de différents fabricants. Les applications HES proposent cette sélection en calculant d'abord jusqu'à 40 échangeurs de chaleur à ailettes différents avec une macro et en affichant les critères de sélection pertinents. L'échangeur de chaleur à ailettes optimal peut être sélectionné parmi ceux-ci.</t>
  </si>
  <si>
    <t>Bei Klimageräten sind die maximalen Abmessungen BT und RH für die lamellierten Wärmetauscher inklusive der Rahmen bekannt.  Man möchte aus einer Anzahl diverser Geometrien, also zum Beispiel von diversen Herstellern, den optimalen lamellierten Wärmetauscher bestimmen. Die Applikationen HES bieten diese Auswahl an, indem zuerst bis zu 40 diverse lamellierte Wärmetauscher mit einem Makro berechnet und die relevanten Auswahlkriterien angezeigt werden. Aus diesen kann der optimale lamellierte Wärmetauscher ausgewählt werden.</t>
  </si>
  <si>
    <t>Vollversion für 6 Clients //, Netzwerklizenz</t>
  </si>
  <si>
    <t>Full version for 6 clients //, network license</t>
  </si>
  <si>
    <t>Versione completa per 6 client //, licenza di rete</t>
  </si>
  <si>
    <t>Version complète pour 6 clients //, licence réseau</t>
  </si>
  <si>
    <t>CAP</t>
  </si>
  <si>
    <t>CO2</t>
  </si>
  <si>
    <t>CCSH Split Lamellen-WT - Funktion siehe rechts</t>
  </si>
  <si>
    <t>CCSH Split Fin coil HE - Function on the right side</t>
  </si>
  <si>
    <t>CCSH Split Scamb. alettato la funzione sul lato destro</t>
  </si>
  <si>
    <t>CCSH Split Echang. à ailettes la fonction sur le côté droit</t>
  </si>
  <si>
    <t>CCSH Split</t>
  </si>
  <si>
    <t>EXE</t>
  </si>
  <si>
    <t>DLL</t>
  </si>
  <si>
    <t>DLL : Bibliothèque de liens dynamiques</t>
  </si>
  <si>
    <t>DLL: Libreria a collegamento dinamico</t>
  </si>
  <si>
    <t>EXE: Ausführbare Datei (C#)</t>
  </si>
  <si>
    <t>DLL: Dynamische Programmbibliothek (C#)</t>
  </si>
  <si>
    <t>EXE: Executable file (C#)</t>
  </si>
  <si>
    <t>DLL: Dynamic link library (C#)</t>
  </si>
  <si>
    <t>EXE: File eseguibile (C#)</t>
  </si>
  <si>
    <t>EXE : Fichier exécutable (C#)</t>
  </si>
  <si>
    <t>Winterbetrieb</t>
  </si>
  <si>
    <t>Winter service</t>
  </si>
  <si>
    <t>Servizio invernale</t>
  </si>
  <si>
    <t>Service d'hiver</t>
  </si>
  <si>
    <t>Lamellen-Lufterhitzer mit flüssigen Medien: Splitten</t>
  </si>
  <si>
    <t>Lamellen-Luftkühler mit flüssigen Medien: Splitten</t>
  </si>
  <si>
    <t>Fin coil air heater with liquid agents: Split</t>
  </si>
  <si>
    <t>Fin coil air cooler with liquid agents: Split</t>
  </si>
  <si>
    <t>Scamb. alettato aria riscaldamento con agenti liquidi: Diviso</t>
  </si>
  <si>
    <t>Scamb. alettato aria fredda con agenti liquidi: Diviso</t>
  </si>
  <si>
    <t>Echang. à ailettes chauffeur d’air avec des agents liquides: Diviser</t>
  </si>
  <si>
    <t>Echang. à ailettes refroidisseur d'air avec des agents liquides: Diviser</t>
  </si>
  <si>
    <t>Per i clienti in Svizzera è dovuta un'IVA aggiuntiva del 8.1%.</t>
  </si>
  <si>
    <t>CHF</t>
  </si>
  <si>
    <t>Training in Bern - 6 Stunden pro Tag</t>
  </si>
  <si>
    <t>Training in Bern - 6 hours daily</t>
  </si>
  <si>
    <t>Formazione a Berne - 6 ore al giorno</t>
  </si>
  <si>
    <t>Formation à Berne - 6 heures par jour</t>
  </si>
  <si>
    <t>Bei allen Preisen handelt es sich um einmalige Kosten!</t>
  </si>
  <si>
    <t>All prices are one-time costs!</t>
  </si>
  <si>
    <t>Tutti i prezzi sono costi una tantum!</t>
  </si>
  <si>
    <t>Tous les prix sont des coûts uniques!</t>
  </si>
  <si>
    <t>Für Kunden im Ausland wird keine MWST fällig.</t>
  </si>
  <si>
    <t>For customers abroad, no VAT is due.</t>
  </si>
  <si>
    <t>Per i clienti all'estero non è dovuta l'IVA.</t>
  </si>
  <si>
    <t>Pour les clients à l'étranger, aucune TVA n'est due.</t>
  </si>
  <si>
    <t>Für Kunden in der Schweiz wird zusätzlich eine MWST von 8.1% fällig.</t>
  </si>
  <si>
    <t>For customers in Switzerland, an additional VAT of 8.1% is due.</t>
  </si>
  <si>
    <t>Pour les clients en Suisse, une TVA supplémentaire de 8.1% est due.</t>
  </si>
  <si>
    <t>Nach Eingang Ihrer Bestellung erhalten Sie unsere Rechnung mit Bankverbindung per E-Mail.</t>
  </si>
  <si>
    <t>Für Excel-Software-Bestellungen benötigen wir Ihren Firmen-Logo als Bitmap per E-Mail.</t>
  </si>
  <si>
    <t>Upon receipt of your order you receive our invoice with our bank account.</t>
  </si>
  <si>
    <t>If you order Excel applications, we need additional your company-logo as bitmap by E-Mail.</t>
  </si>
  <si>
    <t>Al ricevimento del vostro ordine si riceve la fattura con il nostro conto in banca.</t>
  </si>
  <si>
    <t>Se si ordinano le Excel, abbiamo bisogno del vostro logo per e-mail.</t>
  </si>
  <si>
    <t>Dès réception de votre commande, vous recevrez notre facture avec notre compte bancaire.</t>
  </si>
  <si>
    <t>Si vous commande des Excel, nous avons besoin de votre logo par e-mail.</t>
  </si>
  <si>
    <t>Wärmerückgewinnung CCSB, Selektion mit diversen Geometrien</t>
  </si>
  <si>
    <t>Wärmerückgewinnung CCSD, Selektion mit diversen Geometrien</t>
  </si>
  <si>
    <t>Wärmerückgewinnung CCSF, Selektion mit diversen Geometrien</t>
  </si>
  <si>
    <t>Heat recovery CCSB, selection with various geometries</t>
  </si>
  <si>
    <t>Heat recovery CCSD, selection with various geometries</t>
  </si>
  <si>
    <t>Heat recovery CCSF, selection with various geometries</t>
  </si>
  <si>
    <t>Recupero di calore CCSB, selezione con varie geometrie</t>
  </si>
  <si>
    <t>Recupero di calore CCSD, selezione con varie geometrie</t>
  </si>
  <si>
    <t>Recupero di calore CCSF, selezione con varie geometrie</t>
  </si>
  <si>
    <t>Récupération de chaleur CCSB, sélection avec différentes géométries</t>
  </si>
  <si>
    <t>Récupération de chaleur CCSD, sélection avec différentes géométries</t>
  </si>
  <si>
    <t>Récupération de chaleur CCSF, sélection avec différentes géométries</t>
  </si>
  <si>
    <t>Bei sehr vielen industriellen Prozessen, wie zum Beispiel in der Pharmabranche, ist man auf relativ trockene Luft angewiesen, ansonsten die herzustellenden Produkte Feuchte aufnehmen und unbrauchbar werden können. Sofern der Luft viel Feuchte entzogen werden muss, kann ein Teil der Leistung über Kälterückgewinnung erfolgen, sofern die Abluft adiabatisch vorgekühlt wird. Der Rest muss zum Beispiel mit Kaltwasser von 6/12°C gekühlt werden, was hohe Betriebskosten zur Folge hat. Leider schreiben immer noch viel zu viele Planer solche Systeme ohne adiabatische Vorkühlung der Abluft aus, was höhere Betriebskosten verursacht.</t>
  </si>
  <si>
    <t>In many industrial processes, such as in the pharmaceutical industry, relatively dry air is required, otherwise the products to be manufactured can absorb moisture and become unusable. If a lot of moisture has to be removed from the air, part of the output can be achieved via cold recovery, provided that the exhaust air is pre-cooled adiabatically. The rest has to be cooled with cold water at 6/12°C, for example, which results in high operating costs. Unfortunately, far too many planners still specify such systems without adiabatic pre-cooling of the return air, which causes higher operating costs.</t>
  </si>
  <si>
    <t>Dans de nombreux processus industriels, comme dans l'industrie pharmaceutique, un air relativement sec est nécessaire, sinon les produits à fabriquer peuvent absorber l'humidité et devenir inutilisables. S'il faut éliminer une grande partie de l'humidité de l'air, une partie du rendement peut être obtenue par récupération du froid, à condition que l'air évacué soit pré-refroidi de manière adiabatique. Le reste doit être refroidi avec de l'eau froide à 6/12°C par exemple, ce qui entraîne des coûts d'exploitation élevés. Malheureusement, beaucoup trop de planificateurs prévoient encore de tels systèmes sans pré-refroidissement adiabatique de l'air de retour, ce qui entraîne des coûts d'exploitation plus élevés.</t>
  </si>
  <si>
    <t>In molti processi industriali, come ad esempio nell'industria farmaceutica, è necessaria aria relativamente secca, altrimenti i prodotti da fabbricare possono assorbire umidità e diventare inutilizzabili. Se è necessario eliminare molta umidità dall'aria, è possibile ottenere una parte della resa tramite il recupero del freddo, a condizione che l'aria di scarico venga preraffreddata adiabaticamente. Il resto deve essere raffreddato, ad esempio, con acqua fredda a 6/12°C, il che comporta elevati costi di esercizio. Purtroppo ancora troppi progettisti specificano tali sistemi senza preraffreddamento adiabatico dell'aria di ritorno, il che comporta costi operativi più elevati.</t>
  </si>
  <si>
    <t>Top news in der Tabelle News nicht verpassen!</t>
  </si>
  <si>
    <t>Don't miss the top news in the News sheet!</t>
  </si>
  <si>
    <t>Ne manquez pas l'actualité de la fiche Actualités !</t>
  </si>
  <si>
    <t>Non perderti le novità più importanti nella scheda Novità!</t>
  </si>
  <si>
    <t>Microchannel Wärmetauscher (MCHE) bieten viele Vorteile bezüglich Wärmedurchgangszahl, Inhalt, Gewicht und Bautiefe. MCHE werden komplett in Aluminium hergestellt. Im Lötofen erfolgt die Verbindung der einzelnen Teile.</t>
  </si>
  <si>
    <t>Microchannel heat exchangers (MCHE) offer many advantages in terms of heat transfer coefficient, content, weight and depth. MCHE are made entirely of aluminum. The individual parts are connected in the soldering oven.</t>
  </si>
  <si>
    <t>Gli scambiatori di calore a microcanali (MCHE) offrono molti vantaggi in termini di coefficiente di scambio termico, contenuto, peso e profondità. Le MCHE sono realizzate interamente in alluminio. Le singole parti vengono collegate nel forno di saldatura.</t>
  </si>
  <si>
    <t>Les échangeurs thermiques à microcanaux (MCHE) offrent de nombreux avantages en termes de coefficient de transfert thermique, de contenu, de poids et de profondeur. Les MCHE sont entièrement fabriqués en aluminium. Les différentes pièces sont reliées dans le four à souder.</t>
  </si>
  <si>
    <t>MCHE</t>
  </si>
  <si>
    <t>Reiner Umluftbetrieb zur Entfeuchtung</t>
  </si>
  <si>
    <t>Pure recirculation mode for dehumidification</t>
  </si>
  <si>
    <t>Modalità di puro ricircolo per la deumidificazione</t>
  </si>
  <si>
    <t>Mode de recirculation pure pour la déshumidification</t>
  </si>
  <si>
    <t>Wärmerückgewinnung CCSU, Selektion mit diversen Geometrien</t>
  </si>
  <si>
    <t>Heat recovery CCSU, selection with various geometries</t>
  </si>
  <si>
    <t>Recupero di calore CCSU, selezione con varie geometrie</t>
  </si>
  <si>
    <t>Récupération de chaleur CCSU, sélection avec différentes géométries</t>
  </si>
  <si>
    <t>Lam.-Luftkühler mit fl. Medien - El. Defroster, Schnittpunkt mit Ventilator</t>
  </si>
  <si>
    <t>Lam.-Kältemittel Einspritzverd. - El. Defroster, Schnittpunkt mit Ventilator</t>
  </si>
  <si>
    <t>Fin coil air cooler with liquid agents - El. defroster, intersec. point with fan</t>
  </si>
  <si>
    <t>Fin coil refrigerant DX-Evaporator - El. defroster, intersec. point with fan</t>
  </si>
  <si>
    <t>Raffred. ad agenti liquidi - Sprinatore el., punto di intersez. con ventola</t>
  </si>
  <si>
    <t>DX-Evaporatore refrig. - Sprinatore el., punto di intersez. con ventilatore</t>
  </si>
  <si>
    <t>Refroid. d'air d'agents liquides - Dég. él., point d'intersec. avec venti.</t>
  </si>
  <si>
    <t>DX-Évaporateur de réfrigérant - Dég. él., point d'intersec. avec le venti.</t>
  </si>
  <si>
    <t>Full 1</t>
  </si>
  <si>
    <t>Update 1</t>
  </si>
  <si>
    <t>Upgrade 1</t>
  </si>
  <si>
    <t>Full n</t>
  </si>
  <si>
    <t>Update n</t>
  </si>
  <si>
    <t>Upgrade n</t>
  </si>
  <si>
    <t>GUIDLL: Grafische Benutzeroberfläche (C#)</t>
  </si>
  <si>
    <t>GUIDLL: Graphical user interface (C#)</t>
  </si>
  <si>
    <t>GUIDLL: Interfaccia utente grafica</t>
  </si>
  <si>
    <t>GUIDLL : interface utilisateur graphique</t>
  </si>
  <si>
    <t>Lamellen-Gaserhitzer mit flüssigen Medien</t>
  </si>
  <si>
    <t>Fin coil gas heater with liquid agents</t>
  </si>
  <si>
    <t>Réchauffeur de gaz à ailettes avec agents liquides</t>
  </si>
  <si>
    <t>Riscaldatore a gas a batteria alettata con agenti liquidi</t>
  </si>
  <si>
    <t>Excel basierende Applikationen werden nur noch ungeschützt angeboten, da gecrackt wurde. Dafür können sie auf mehreren Computern installiert werden.</t>
  </si>
  <si>
    <t>Excel-based applications are now only offered unprotected because they have been cracked. However, they can be installed on multiple computers.</t>
  </si>
  <si>
    <t>Le applicazioni basate su Excel ora vengono offerte solo non protette perché sono state craccate. Tuttavia, possono essere installate su più computer.</t>
  </si>
  <si>
    <t>Les applications basées sur Excel ne sont désormais proposées que sans protection car elles ont été piratées. Elles peuvent cependant être installées sur plusieurs ordinateurs.</t>
  </si>
  <si>
    <t>---</t>
  </si>
  <si>
    <t>HES</t>
  </si>
  <si>
    <t>EAC</t>
  </si>
  <si>
    <t>AHH-Excel-Version (Mollier-TX-Diagramm)</t>
  </si>
  <si>
    <t>AHH-Excel-Version (Mollier-TX-Chart)</t>
  </si>
  <si>
    <t>AHH-Excel-Versione (Mollier-TX-Diagramma)</t>
  </si>
  <si>
    <t>AHH-Excel-Version (Mollier-TX-Diagramme)</t>
  </si>
  <si>
    <t>Hochsprachige Applikationen können während 30 Tagen getestet werden!</t>
  </si>
  <si>
    <t>High-language applications can be tested for 30 days!</t>
  </si>
  <si>
    <t>Le applicazioni con un linguaggio complesso possono essere testate per 30 giorni!</t>
  </si>
  <si>
    <t>Les candidatures en langues étrangères peuvent être testées pendant 30 jours !</t>
  </si>
  <si>
    <t>High-language applications</t>
  </si>
  <si>
    <t>Fin coil vapor condenser</t>
  </si>
  <si>
    <t>Lamellen-Dampfkondensator</t>
  </si>
  <si>
    <t>Glattrohr-Dampfkondensator</t>
  </si>
  <si>
    <t>Tubi lisci condensatore di vapore</t>
  </si>
  <si>
    <t>Echang. à ailettes condenseur de vapeur</t>
  </si>
  <si>
    <t>Smoot tubes vapor condenser</t>
  </si>
  <si>
    <t>Scamb. alettate condensatore di vapore</t>
  </si>
  <si>
    <t>Tubes lisses condenseur de vapeur</t>
  </si>
  <si>
    <t>DLLs werden nur verkauft, sofern eine Vereinbarung unterschrieben wird. Diese verbietet den Weiterverkauf.</t>
  </si>
  <si>
    <t>DLLs will only be sold, if an agreement is signed. This prohibits resale.</t>
  </si>
  <si>
    <t>DLLs sarà venduto solo se viene firmato un accordo. Ciò vieta la rivendita.</t>
  </si>
  <si>
    <t>DLLs ne sera vendue que si un accord est signé. Cela interdit la revente.</t>
  </si>
  <si>
    <t>GUIDLLs werden nur verkauft, sofern eine Vereinbarung unterschrieben wird. Diese verbietet den Weiterverkauf. GUIDLLs bieten die gleichen Möglichkeiten wie die EXEs und werden nur zusammen mit den DLLs verkauft.</t>
  </si>
  <si>
    <t>GUIDLLs are only sold, if an agreement is signed. This prohibits resale. GUIDLLs offer the same options as EXEs and are only sold together with DLLs.</t>
  </si>
  <si>
    <t>GUIDLLs vengono vendute solo se viene firmato un accordo. Ciò vieta la rivendita. GUIDLLs offrono le stesse opzioni degli EXEs e vengono vendute solo insieme alle DLLs.</t>
  </si>
  <si>
    <t>GUIDLLs ne sont vendues que si un accord est signé. Cela interdit la revente. GUIDLLs offrent les mêmes options que les EXEs et ne sont vendues qu'avec les DLLs.</t>
  </si>
  <si>
    <t>Kissenplatten-WT für Rückgewinnung schädlicher Dämpfe</t>
  </si>
  <si>
    <t>Kissenplatten-WT für Eisspeicher</t>
  </si>
  <si>
    <t>Pillow plate heat exchanger for ice storage</t>
  </si>
  <si>
    <t>Pillow plate heat exchanger for recovery of harmful vapors</t>
  </si>
  <si>
    <t>Scamb. di calore a piastre a cuscino per il recupero di vapori nocivi</t>
  </si>
  <si>
    <t>Scamb. di calore a piastre a cuscino per l'accumulo di ghiaccio</t>
  </si>
  <si>
    <t>Échang. de chaleur à plaques couss. pour le stockage de glace</t>
  </si>
  <si>
    <t>Pillow plate heat exchanger</t>
  </si>
  <si>
    <t>Kissenplatten-WT</t>
  </si>
  <si>
    <t>Scamb. di calore a piastre a cuscino</t>
  </si>
  <si>
    <t>Échang. de chaleur à plaques couss.</t>
  </si>
  <si>
    <t>Scamb. di calore a piastre a cuscino, refrig. film cadente acqua ghiacciata</t>
  </si>
  <si>
    <t>Pillow plate heat exchanger, falling film chiller for ice water</t>
  </si>
  <si>
    <t>Kissenplatten-WT, Fallfilmkühler für Eiswasser</t>
  </si>
  <si>
    <t>Échang. de chaleur à plaques en couss., refroid. film tomb. eau glacée</t>
  </si>
  <si>
    <t>Échang. de chaleur à plaques couss. pour la récup. vapeurs nocives</t>
  </si>
  <si>
    <t>Für die untenstehenden Energierückgewinnungssysteme werden Berechnungen für Konditionen im Winter, im Sommer, nach DIN EN 308, für den Energiebedarf pro Jahr, für die Wirtschaftlichkeit und für die Amortisation erstellt, siehe rechts ein Beispiel für das System CCSF.</t>
  </si>
  <si>
    <t>For the energy recovery systems below, calculations are made for conditions in winter, in summer, according to DIN EN 308, for the energy requirement per year, for the economic efficiency and for the amortization, see an example for the CCSF system on the right.</t>
  </si>
  <si>
    <t>Per i sistemi di recupero energetico sottostanti vengono effettuati calcoli per le condizioni invernali, estive, secondo DIN EN 308, per il fabbisogno energetico annuo, per l'efficienza economica e per l'ammortamento; vedere un esempio per il sistema CCSF a destra.</t>
  </si>
  <si>
    <t>Pour les systèmes de récupération d'énergie ci-dessous, les calculs sont effectués pour les conditions en hiver, en été, selon la norme DIN EN 308, pour le besoin énergétique par an, pour l'efficacité économique et pour l'amortissement, voir un exemple pour le système CCSF à droite.</t>
  </si>
  <si>
    <t>AHH Version 1</t>
  </si>
  <si>
    <t>AHH version 1</t>
  </si>
  <si>
    <t>AHH versione 1</t>
  </si>
  <si>
    <t>2 mehrsprachige Anwendungen für die Klimatisierung</t>
  </si>
  <si>
    <t>2 multilingual applications for air conditioning</t>
  </si>
  <si>
    <t>2 applicazioni multilingue per la climatizzazione</t>
  </si>
  <si>
    <t>2 applications multilingues pour la climatisation</t>
  </si>
  <si>
    <t>AHH Version 2</t>
  </si>
  <si>
    <t>AHH version 2</t>
  </si>
  <si>
    <t>AHH versione 2</t>
  </si>
  <si>
    <t>7 mehrsprachige Anwendungen für die Klimatisierung</t>
  </si>
  <si>
    <t>7 multilingual applications for air conditioning</t>
  </si>
  <si>
    <t>7 applicazioni multilingue per la climatizzazione</t>
  </si>
  <si>
    <t>7 applications multilingues pour la climatisation</t>
  </si>
  <si>
    <t>AHH Version 3</t>
  </si>
  <si>
    <t>AHH version 3</t>
  </si>
  <si>
    <t>AHH versione 3</t>
  </si>
  <si>
    <t>AHH Version 1 - Siehe Seite "Order"</t>
  </si>
  <si>
    <t>AHH version 1 - Show page "Order"</t>
  </si>
  <si>
    <t>AHH versione 1 - Visualizza pagina "Order"</t>
  </si>
  <si>
    <t>AHH version 1 - Afficher la page "Order"</t>
  </si>
  <si>
    <t>AHH Version 2 - Siehe Seite "Order"</t>
  </si>
  <si>
    <t>AHH version 2 - Show page "Order"</t>
  </si>
  <si>
    <t>AHH versione 2 - Visualizza pagina "Order"</t>
  </si>
  <si>
    <t>AHH version 2 - Afficher la page "Order"</t>
  </si>
  <si>
    <t>AHH Version 3 - Siehe Seite "Order"</t>
  </si>
  <si>
    <t>AHH version 3 - Show page "Order"</t>
  </si>
  <si>
    <t>AHH versione 3 - Visualizza pagina "Order"</t>
  </si>
  <si>
    <t>AHH version 3 - Afficher la page "Order"</t>
  </si>
  <si>
    <t>Zeller Consulting Suisse GmbH</t>
  </si>
  <si>
    <t>CCSG Split</t>
  </si>
  <si>
    <t>CCSG Split Lamellen-WT - Funktion siehe rechts</t>
  </si>
  <si>
    <t>CCSG Split Fin coil HE - Function on the right side</t>
  </si>
  <si>
    <t>CCSG Split Scamb. alettato la funzione sul lato destro</t>
  </si>
  <si>
    <t>CCSG Split Echang. à ailettes la fonction sur le côté droit</t>
  </si>
  <si>
    <t>Sofern Sie Klimageräte produzieren, sollten Sie weiterlesen! Hochsprachige neutrale Applikationen (EXEs, DLLs, GUIDLLs) zur Berechnung der 3 wichtigsten Wärmetauscher (Erhitzer, Kühler, Kondensator, Verdampfer) sind bis Mitte 2024 erhältlich. Applikationen zur Berechnung der 4 wichtigsten Wärmerückgewinnungssysteme sind bis Ende 2025 erhältlich. Weil Vergleiche zu unterschiedlichsten Geometrien möglich sind, können Sie alle DLLs von Wärmetauscherproduzenten löschen.</t>
  </si>
  <si>
    <t>If you produce air conditioning units, you should read on! High-language neutral applications (EXEs, DLLs, GUIDLLs) for calculating the 3 most important heat exchangers (heater, cooler, condenser, evaporator) will be available by mid-2024. Applications for calculating the 4 most important heat recovery systems will be available by the end of 2025. Because comparisons to a wide variety of geometries are possible, you can delete all DLLs from heat exchanger manufacturers.</t>
  </si>
  <si>
    <t>Se produci condizionatori, continua a leggere! Entro la metà del 2024 saranno disponibili applicazioni neutre dal linguaggio elevato (EXEs, DLLs, GUIDLLs) per il calcolo dei 3 scambiatori di calore più importanti (riscaldatore, raffreddatore, condensatore, evaporatore). Entro la fine del 2025 saranno disponibili applicazioni per il calcolo dei 4 sistemi di recupero del calore più importanti. Poiché sono possibili confronti con un'ampia varietà di geometrie, è possibile eliminare tutte le DLL dei produttori di scambiatori di calore.</t>
  </si>
  <si>
    <t>Si vous produisez des climatiseurs, vous devriez continuer à lire ! Des applications neutres en langage élevé (EXEs, DLLs, GUIDLLs) pour calculer les 3 échangeurs de chaleur les plus importants (réchauffeur, refroidisseur, condenseur, évaporateur) seront disponibles d'ici mi-2024. Des applications permettant de calculer les 4 systèmes de récupération de chaleur les plus importants seront disponibles d'ici fin 2025. Comme des comparaisons avec une grande variété de géométries sont possibles, vous pouvez supprimer toutes les DLL des fabricants d'échangeurs de chaleur.</t>
  </si>
  <si>
    <t>EXE Applikationen können als eigenständige Applikationen erworben werden.</t>
  </si>
  <si>
    <t>EXE applications can be purchased as standalone applications.</t>
  </si>
  <si>
    <t>Le applicazioni EXE possono essere acquistate come applicazioni autonome.</t>
  </si>
  <si>
    <t>Les applications EXE peuvent être achetées en tant qu'applications autonomes.</t>
  </si>
  <si>
    <t>Enthält 14 Applikationen - Siehe Seite "Order" - Studenten-Version</t>
  </si>
  <si>
    <t>Enthält 14 Applikationen - Siehe Seite "Order" - Lehrer-Version</t>
  </si>
  <si>
    <t>Enthält 14 Applikationen - Siehe Seite "Order" - Firmen-Version</t>
  </si>
  <si>
    <t>Contains 14 applications - See "Order" page - Student version</t>
  </si>
  <si>
    <t>Contains 14 applications - See "Order" page - Teacher version</t>
  </si>
  <si>
    <t>Contains 14 applications - See "Order" page - Corporate version</t>
  </si>
  <si>
    <t>Contiene 14 applicazioni - Vedi pagina "Order" - Versione per studenti</t>
  </si>
  <si>
    <t>Contiene 14 applicazioni - Vedi pagina "Order" - Versione per insegnanti</t>
  </si>
  <si>
    <t>Contiene 14 applicazioni - Vedi pagina "Order" - Versione aziendale</t>
  </si>
  <si>
    <t>Contient 14 applications - Voir page «Order» - Version Étudiant</t>
  </si>
  <si>
    <t>Contient 14 applications - Voir page «Order» - Version Enseignant</t>
  </si>
  <si>
    <t>Contient 14 applications - Voir page «Order» - Version Entreprise</t>
  </si>
  <si>
    <t>Währung</t>
  </si>
  <si>
    <t>Currency</t>
  </si>
  <si>
    <t>Devise</t>
  </si>
  <si>
    <t>Valuta</t>
  </si>
  <si>
    <t>EUR</t>
  </si>
  <si>
    <t>USD</t>
  </si>
  <si>
    <t>REF</t>
  </si>
  <si>
    <t>Die Software AHH enthält 15 Applikationen, unter anderem auch die Applikation GHH. Mit der Software AHH kann man im Mollier-HX-Diagramm alle Prozesse mit feuchter Luft berechnen und darstellen. Mit der Software GHH kann man im Mollier-TX-Diagramm den Kühlprozess für beliebige Gase und Dämpfe berechnen und darstellen. Diese Software richtet sich an Verfahrensingenieure, welche umweltschädliche Dämpfe kondensieren und zurückgewinnen möchten.</t>
  </si>
  <si>
    <t>The AHH software contains 15 applications, including the GHH application. With the software AHH you can calculate and display all processes with humid air in the Mollier-HX-Diagram. The GHH software can be used to calculate and display the cooling process for any gases and vapors in the Mollier-TX-Diagram. This software is aimed at process engineers who want to condense and recover environmentally harmful vapors.</t>
  </si>
  <si>
    <t>Il software AHH contiene 15 applicazioni, inclusa l'applicazione GHH. Con il software AHH è possibile calcolare e visualizzare tutti i processi con aria umida nel Mollier-HX-Diagramma. Il software GHH può essere utilizzato per calcolare e visualizzare il processo di raffreddamento per qualsiasi gas e vapore nel Mollier-TX-Diagramma. Questo software è rivolto agli ingegneri di processo che desiderano condensare e recuperare i vapori dannosi per l'ambiente.</t>
  </si>
  <si>
    <t>Le logiciel AHH contient 15 applications, dont l'application GHH. Avec le logiciel AHH, vous pouvez calculer et afficher tous les processus avec de l'air humide dans le Mollier-HX-Diagramme. Le logiciel GHH peut être utilisé pour calculer et afficher le processus de refroidissement pour tous les gaz et vapeurs dans le Mollier-TX-Diagramme. Ce logiciel s'adresse aux ingénieurs de procédés qui souhaitent condenser et récupérer des vapeurs nocives pour l'environnement.</t>
  </si>
  <si>
    <t>MRM in Hochsprache</t>
  </si>
  <si>
    <t>MRM in high language</t>
  </si>
  <si>
    <t>MRM in lingua alta</t>
  </si>
  <si>
    <t>MRM en langage élevé</t>
  </si>
  <si>
    <t>Kühlbedarf im Hochsommer - Meteorologisches Risikomanagement</t>
  </si>
  <si>
    <t>Cooling requirements in midsummer - Meteorological risk management</t>
  </si>
  <si>
    <t>Esigenze di raffreddamento in piena estate - Gestione del rischio meteorologico</t>
  </si>
  <si>
    <t>Besoins en refroidissement en plein été - Gestion des risques météorologiques</t>
  </si>
  <si>
    <t>Available soon</t>
  </si>
  <si>
    <t>Demnächst verfügbar</t>
  </si>
  <si>
    <t>Bientôt disponible</t>
  </si>
  <si>
    <t>Disponibile a breve</t>
  </si>
  <si>
    <t>Es gibt kostenlose Software, bei der man häufig feststellen muss, dass wenn etwas nichts kostet, dies auch nicht viel Wert ist. Es gibt Software, die nur die Hälfte kostet, wo man sagen muss, dass diese Software vielleicht nur die Hälfte der Möglichkeiten bietet. Es gibt unsere Software, die von mehr als 8'000 Ingenieuren weltweit verwendet wird. Es kann zwischen Einzellizenzen und Netzwerklizenzen ausgewählt werden. Der Preis für Netzwerklizenzen hängt davon ab, wie viele Benutzer die Software gleichzeitig an einem Arbeitsplatz im gesamten Netzwerk verwenden möchten.</t>
  </si>
  <si>
    <t>There is tax-free software, where you have to find frequently, that if something does not cost anything, this is also not a lot of value. There is software, which costs only half of it, where you have to say, that this software perhaps offers even half the possibilities only. There is our software, which is used by more than 8.000 engineers worldwide. It can be selected between single licenses and network licenses. In which the price for network licenses depends on how many users want to use the software at the same time at any workplace in the entire network.</t>
  </si>
  <si>
    <t>C'è un software esentasse, dove devi trovare frequentemente, che se qualcosa non costa nulla, anche questo non ha molto valore. C'è un software, che costa solo la metà, dove devi dire che questo software forse offre solo la metà delle possibilità. C'è il nostro software, utilizzato da oltre 8.000 ingegneri in tutto il mondo. Può essere selezionato tra licenze singole e licenze di rete. In cui il prezzo delle licenze di rete dipende da quanti utenti desiderano utilizzare il software contemporaneamente in qualsiasi postazione di lavoro nell'intera rete.</t>
  </si>
  <si>
    <t>Il existe des logiciels libres d'impôt, où vous devez trouver fréquemment, que si quelque chose ne coûte rien, cela n'a pas non plus beaucoup de valeur. Il y a des logiciels, qui ne coûtent que la moitié de celui-ci, où il faut dire que ce logiciel n'offre peut-être même que la moitié des possibilités. Il y a notre logiciel, qui est utilisé par plus de 8'000 ingénieurs dans le monde. Il peut être sélectionné entre des licences simples et des licences réseau. Dans lequel le prix des licences réseau dépend du nombre d'utilisateurs souhaitant utiliser le logiciel en même temps sur n'importe quel lieu de travail sur l'ensemble du réseau.</t>
  </si>
  <si>
    <t>Donald, der nützliche Handlanger von Wladimir, glaubt, dass die Spezial-Operation gegen die Ukraine bald zu Ende gehen würde. Donald der senile Trottel verleugnet die Wirkung von Impfstoffen. Donald der unterbelichtete Phantast will den Gazastreifen in Las Vegas 2 umwandeln. Und Donald der hirnamputierte Möchtegern-Diktator verleugnet die Klimaerwärmung. Albert Einstein: Ich bin mir nicht sicher, was grösser ist, das Universum oder die menschliche Dummheit!</t>
  </si>
  <si>
    <t>Donald, Vladimir's useful henchman, believes, that the special operation against Ukraine would soon come to an end. Donald the senile idiot denies the effect of vaccines. Donald the underexposed fantasist wants to turn the Gaza Strip into Las Vegas 2. And Donald, the brain-amputated would-be dictator, denies global warming. Albert Einstein: I'm not sure what's bigger, the universe or human stupidity!</t>
  </si>
  <si>
    <t>Donald, l'utile homme de main de Vladimir, pense, que l'opération spéciale contre l'Ukraine prendra bientôt fin. Donald l'idiot sénile nie l'effet des vaccins. Donald, le fantasiste sous-exposé, veut transformer la bande de Gaza en Las Vegas 2. Et Donald, le dictateur potentiel, qui a été amputé par un cerveau, nie le réchauffement climatique. Albert Einstein: Je ne sais pas, ce qui est plus grand, l'univers ou la stupidité humaine !</t>
  </si>
  <si>
    <t>Colonno, l'utile scagnozzo di Vladimir, crede, che l'operazione speciale contro l'Ucraina presto finirà. Paperino, l'idiota senile, nega l'effetto dei vaccini. Donald, il fantasista sottoesposto, vuole trasformare la Striscia di Gaza in Las Vegas 2. E Donald, il potenziale dittatore amputato dal cervello, nega il riscaldamento globale. Albert Einstein: Non sono sicuro di cosa sia più grande, l'universo o la stupidità 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</si>
</sst>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mm/yyyy;@"/>
    <numFmt numFmtId="166" formatCode="0.000000"/>
    <numFmt numFmtId="167" formatCode="0.0000"/>
  </numFmts>
  <fonts count="13" x14ac:knownFonts="1">
    <font>
      <sz val="10"/>
      <name val="Arial"/>
    </font>
    <font>
      <sz val="8"/>
      <name val="Arial"/>
      <family val="2"/>
    </font>
    <font>
      <b/>
      <sz val="8"/>
      <name val="Arial"/>
      <family val="2"/>
    </font>
    <font>
      <u/>
      <sz val="10"/>
      <color theme="10"/>
      <name val="Arial"/>
      <family val="2"/>
    </font>
    <font>
      <sz val="8"/>
      <color theme="1"/>
      <name val="Arial"/>
      <family val="2"/>
    </font>
    <font>
      <sz val="10"/>
      <name val="Arial"/>
      <family val="2"/>
    </font>
    <font>
      <sz val="8"/>
      <name val="Arial Narrow"/>
      <family val="2"/>
    </font>
    <font>
      <sz val="8"/>
      <color theme="0"/>
      <name val="Arial"/>
      <family val="2"/>
    </font>
    <font>
      <sz val="8"/>
      <color indexed="8"/>
      <name val="Arial"/>
      <family val="2"/>
    </font>
    <font>
      <sz val="7"/>
      <name val="Arial"/>
      <family val="2"/>
    </font>
    <font>
      <sz val="7.5"/>
      <name val="Arial"/>
      <family val="2"/>
    </font>
    <font>
      <b/>
      <sz val="12"/>
      <name val="Arial"/>
      <family val="2"/>
    </font>
    <font>
      <b/>
      <sz val="8"/>
      <name val="Arial Narrow"/>
      <family val="2"/>
    </font>
  </fonts>
  <fills count="11">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EAEAEA"/>
        <bgColor indexed="64"/>
      </patternFill>
    </fill>
    <fill>
      <patternFill patternType="solid">
        <fgColor indexed="26"/>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s>
  <borders count="66">
    <border>
      <left/>
      <right/>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s>
  <cellStyleXfs count="3">
    <xf numFmtId="0" fontId="0" fillId="0" borderId="0"/>
    <xf numFmtId="0" fontId="3" fillId="0" borderId="0" applyNumberFormat="0" applyFill="0" applyBorder="0" applyAlignment="0" applyProtection="0"/>
    <xf numFmtId="0" fontId="5" fillId="0" borderId="0"/>
  </cellStyleXfs>
  <cellXfs count="362">
    <xf numFmtId="0" fontId="0" fillId="0" borderId="0" xfId="0"/>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49" fontId="2" fillId="2" borderId="0" xfId="0" applyNumberFormat="1" applyFont="1" applyFill="1" applyAlignment="1" applyProtection="1">
      <alignment vertical="center"/>
      <protection hidden="1"/>
    </xf>
    <xf numFmtId="0" fontId="1" fillId="2" borderId="0" xfId="0" applyFont="1" applyFill="1" applyAlignment="1" applyProtection="1">
      <alignment horizontal="right" vertical="center"/>
      <protection hidden="1"/>
    </xf>
    <xf numFmtId="49" fontId="2" fillId="4" borderId="0" xfId="0" applyNumberFormat="1" applyFont="1" applyFill="1" applyAlignment="1" applyProtection="1">
      <alignment vertical="center"/>
      <protection hidden="1"/>
    </xf>
    <xf numFmtId="49" fontId="1" fillId="4" borderId="0" xfId="0" applyNumberFormat="1" applyFont="1" applyFill="1" applyAlignment="1" applyProtection="1">
      <alignment vertical="center"/>
      <protection hidden="1"/>
    </xf>
    <xf numFmtId="49" fontId="1" fillId="3" borderId="1" xfId="0" applyNumberFormat="1" applyFont="1" applyFill="1" applyBorder="1" applyAlignment="1" applyProtection="1">
      <alignment vertical="center"/>
      <protection hidden="1"/>
    </xf>
    <xf numFmtId="49" fontId="1" fillId="3" borderId="2" xfId="0" applyNumberFormat="1" applyFont="1" applyFill="1" applyBorder="1" applyAlignment="1" applyProtection="1">
      <alignment vertical="center"/>
      <protection hidden="1"/>
    </xf>
    <xf numFmtId="49" fontId="1" fillId="3" borderId="6" xfId="0" applyNumberFormat="1" applyFont="1" applyFill="1" applyBorder="1" applyAlignment="1" applyProtection="1">
      <alignment vertical="center"/>
      <protection hidden="1"/>
    </xf>
    <xf numFmtId="0" fontId="1" fillId="4" borderId="0" xfId="0" applyFont="1" applyFill="1" applyAlignment="1" applyProtection="1">
      <alignment horizontal="center" vertical="center"/>
      <protection hidden="1"/>
    </xf>
    <xf numFmtId="0" fontId="1" fillId="4" borderId="0" xfId="0" applyFont="1" applyFill="1" applyAlignment="1" applyProtection="1">
      <alignment horizontal="right" vertical="center"/>
      <protection hidden="1"/>
    </xf>
    <xf numFmtId="49" fontId="2" fillId="6" borderId="5" xfId="0" applyNumberFormat="1" applyFont="1" applyFill="1" applyBorder="1" applyAlignment="1" applyProtection="1">
      <alignment horizontal="center" vertical="center"/>
      <protection hidden="1"/>
    </xf>
    <xf numFmtId="0" fontId="1" fillId="6" borderId="0" xfId="0" applyFont="1" applyFill="1" applyAlignment="1" applyProtection="1">
      <alignment vertical="center"/>
      <protection hidden="1"/>
    </xf>
    <xf numFmtId="49" fontId="2" fillId="6" borderId="5" xfId="0" applyNumberFormat="1" applyFont="1" applyFill="1" applyBorder="1" applyAlignment="1" applyProtection="1">
      <alignment vertical="center"/>
      <protection hidden="1"/>
    </xf>
    <xf numFmtId="0" fontId="1" fillId="6" borderId="8" xfId="0" applyFont="1" applyFill="1" applyBorder="1" applyAlignment="1" applyProtection="1">
      <alignment vertical="center"/>
      <protection hidden="1"/>
    </xf>
    <xf numFmtId="0" fontId="1" fillId="6" borderId="9" xfId="0" applyFont="1" applyFill="1" applyBorder="1" applyAlignment="1" applyProtection="1">
      <alignment vertical="center"/>
      <protection hidden="1"/>
    </xf>
    <xf numFmtId="2" fontId="1" fillId="6" borderId="7" xfId="0" applyNumberFormat="1" applyFont="1" applyFill="1" applyBorder="1" applyAlignment="1" applyProtection="1">
      <alignment vertical="center"/>
      <protection hidden="1"/>
    </xf>
    <xf numFmtId="2" fontId="1" fillId="6" borderId="13" xfId="0" applyNumberFormat="1" applyFont="1" applyFill="1" applyBorder="1" applyAlignment="1" applyProtection="1">
      <alignment vertical="center"/>
      <protection hidden="1"/>
    </xf>
    <xf numFmtId="2" fontId="1" fillId="6" borderId="14" xfId="0" applyNumberFormat="1" applyFont="1" applyFill="1" applyBorder="1" applyAlignment="1" applyProtection="1">
      <alignment vertical="center"/>
      <protection hidden="1"/>
    </xf>
    <xf numFmtId="0" fontId="1" fillId="6" borderId="5" xfId="0" applyFont="1" applyFill="1" applyBorder="1" applyAlignment="1" applyProtection="1">
      <alignment vertical="center"/>
      <protection hidden="1"/>
    </xf>
    <xf numFmtId="0" fontId="1" fillId="6" borderId="10" xfId="0" applyFont="1" applyFill="1" applyBorder="1" applyAlignment="1" applyProtection="1">
      <alignment vertical="center"/>
      <protection hidden="1"/>
    </xf>
    <xf numFmtId="0" fontId="1" fillId="6" borderId="11" xfId="0" applyFont="1" applyFill="1" applyBorder="1" applyAlignment="1" applyProtection="1">
      <alignment vertical="center"/>
      <protection hidden="1"/>
    </xf>
    <xf numFmtId="0" fontId="2" fillId="5" borderId="13"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2" fillId="5" borderId="14"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right" vertical="center"/>
      <protection hidden="1"/>
    </xf>
    <xf numFmtId="166" fontId="1" fillId="4" borderId="0" xfId="0" applyNumberFormat="1" applyFont="1" applyFill="1" applyAlignment="1" applyProtection="1">
      <alignment vertical="center"/>
      <protection hidden="1"/>
    </xf>
    <xf numFmtId="167" fontId="1" fillId="4" borderId="0" xfId="0" applyNumberFormat="1" applyFont="1" applyFill="1" applyAlignment="1" applyProtection="1">
      <alignment vertical="center"/>
      <protection hidden="1"/>
    </xf>
    <xf numFmtId="0" fontId="2" fillId="7" borderId="7" xfId="0" applyFont="1" applyFill="1" applyBorder="1" applyAlignment="1" applyProtection="1">
      <alignment horizontal="center" vertical="center"/>
      <protection locked="0"/>
    </xf>
    <xf numFmtId="0" fontId="2" fillId="7" borderId="14" xfId="0" applyFont="1" applyFill="1" applyBorder="1" applyAlignment="1" applyProtection="1">
      <alignment horizontal="center" vertical="center"/>
      <protection locked="0"/>
    </xf>
    <xf numFmtId="49" fontId="2" fillId="6" borderId="16" xfId="0" applyNumberFormat="1" applyFont="1" applyFill="1" applyBorder="1" applyAlignment="1" applyProtection="1">
      <alignment horizontal="center" vertical="center"/>
      <protection hidden="1"/>
    </xf>
    <xf numFmtId="0" fontId="1" fillId="6" borderId="17" xfId="0" applyFont="1" applyFill="1" applyBorder="1" applyAlignment="1" applyProtection="1">
      <alignment vertical="center"/>
      <protection hidden="1"/>
    </xf>
    <xf numFmtId="0" fontId="2" fillId="7" borderId="18" xfId="0" applyFont="1" applyFill="1" applyBorder="1" applyAlignment="1" applyProtection="1">
      <alignment horizontal="center" vertical="center"/>
      <protection locked="0"/>
    </xf>
    <xf numFmtId="2" fontId="1" fillId="6" borderId="18" xfId="0" applyNumberFormat="1" applyFont="1" applyFill="1" applyBorder="1" applyAlignment="1" applyProtection="1">
      <alignment vertical="center"/>
      <protection hidden="1"/>
    </xf>
    <xf numFmtId="164" fontId="7" fillId="6" borderId="15" xfId="0" applyNumberFormat="1" applyFont="1" applyFill="1" applyBorder="1" applyAlignment="1" applyProtection="1">
      <alignment horizontal="left" vertical="center"/>
      <protection hidden="1"/>
    </xf>
    <xf numFmtId="0" fontId="2" fillId="6" borderId="13" xfId="0" applyFont="1" applyFill="1" applyBorder="1" applyAlignment="1" applyProtection="1">
      <alignment horizontal="center" vertical="center"/>
      <protection hidden="1"/>
    </xf>
    <xf numFmtId="0" fontId="2" fillId="6" borderId="14" xfId="0"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49" fontId="2" fillId="6" borderId="3" xfId="0" applyNumberFormat="1" applyFont="1" applyFill="1" applyBorder="1" applyAlignment="1" applyProtection="1">
      <alignment horizontal="center" vertical="center"/>
      <protection hidden="1"/>
    </xf>
    <xf numFmtId="49" fontId="1" fillId="6" borderId="5" xfId="0" applyNumberFormat="1" applyFont="1" applyFill="1" applyBorder="1" applyAlignment="1" applyProtection="1">
      <alignment horizontal="center" vertical="center"/>
      <protection hidden="1"/>
    </xf>
    <xf numFmtId="167" fontId="1" fillId="4" borderId="0" xfId="0" applyNumberFormat="1" applyFont="1" applyFill="1" applyAlignment="1" applyProtection="1">
      <alignment horizontal="right" vertical="center"/>
      <protection hidden="1"/>
    </xf>
    <xf numFmtId="49" fontId="2" fillId="4" borderId="18" xfId="2" applyNumberFormat="1" applyFont="1" applyFill="1" applyBorder="1" applyAlignment="1" applyProtection="1">
      <alignment horizontal="center"/>
      <protection hidden="1"/>
    </xf>
    <xf numFmtId="49" fontId="2" fillId="4" borderId="18" xfId="2" applyNumberFormat="1" applyFont="1" applyFill="1" applyBorder="1" applyAlignment="1" applyProtection="1">
      <alignment horizontal="left"/>
      <protection hidden="1"/>
    </xf>
    <xf numFmtId="1" fontId="1" fillId="4" borderId="7" xfId="2" applyNumberFormat="1" applyFont="1" applyFill="1" applyBorder="1" applyAlignment="1" applyProtection="1">
      <alignment horizontal="center"/>
      <protection hidden="1"/>
    </xf>
    <xf numFmtId="49" fontId="1" fillId="4" borderId="7" xfId="2" applyNumberFormat="1" applyFont="1" applyFill="1" applyBorder="1" applyAlignment="1" applyProtection="1">
      <alignment horizontal="left"/>
      <protection hidden="1"/>
    </xf>
    <xf numFmtId="49" fontId="8" fillId="4" borderId="7" xfId="2" applyNumberFormat="1" applyFont="1" applyFill="1" applyBorder="1" applyAlignment="1" applyProtection="1">
      <alignment horizontal="left"/>
      <protection hidden="1"/>
    </xf>
    <xf numFmtId="49" fontId="1" fillId="4" borderId="7" xfId="2" quotePrefix="1" applyNumberFormat="1" applyFont="1" applyFill="1" applyBorder="1" applyAlignment="1" applyProtection="1">
      <alignment horizontal="left"/>
      <protection hidden="1"/>
    </xf>
    <xf numFmtId="0" fontId="4" fillId="4" borderId="7" xfId="2" applyFont="1" applyFill="1" applyBorder="1" applyProtection="1">
      <protection hidden="1"/>
    </xf>
    <xf numFmtId="0" fontId="1" fillId="4" borderId="7" xfId="2" applyFont="1" applyFill="1" applyBorder="1" applyProtection="1">
      <protection hidden="1"/>
    </xf>
    <xf numFmtId="0" fontId="1" fillId="4" borderId="7" xfId="0" applyFont="1" applyFill="1" applyBorder="1" applyAlignment="1" applyProtection="1">
      <alignment vertical="center"/>
      <protection hidden="1"/>
    </xf>
    <xf numFmtId="0" fontId="1" fillId="4" borderId="7" xfId="0" applyFont="1" applyFill="1" applyBorder="1" applyProtection="1">
      <protection hidden="1"/>
    </xf>
    <xf numFmtId="49" fontId="1" fillId="4" borderId="7" xfId="0" applyNumberFormat="1" applyFont="1" applyFill="1" applyBorder="1" applyAlignment="1" applyProtection="1">
      <alignment vertical="center"/>
      <protection hidden="1"/>
    </xf>
    <xf numFmtId="0" fontId="6" fillId="4" borderId="7" xfId="0" applyFont="1" applyFill="1" applyBorder="1" applyAlignment="1" applyProtection="1">
      <alignment vertical="center"/>
      <protection hidden="1"/>
    </xf>
    <xf numFmtId="49" fontId="1" fillId="4" borderId="7" xfId="0" applyNumberFormat="1" applyFont="1" applyFill="1" applyBorder="1" applyProtection="1">
      <protection hidden="1"/>
    </xf>
    <xf numFmtId="49" fontId="1" fillId="2" borderId="7" xfId="0" applyNumberFormat="1" applyFont="1" applyFill="1" applyBorder="1" applyProtection="1">
      <protection hidden="1"/>
    </xf>
    <xf numFmtId="0" fontId="1" fillId="2" borderId="7" xfId="0" applyFont="1" applyFill="1" applyBorder="1" applyProtection="1">
      <protection hidden="1"/>
    </xf>
    <xf numFmtId="0" fontId="1" fillId="2" borderId="7" xfId="0" applyFont="1" applyFill="1" applyBorder="1" applyAlignment="1" applyProtection="1">
      <alignment vertical="center"/>
      <protection hidden="1"/>
    </xf>
    <xf numFmtId="0" fontId="1" fillId="4" borderId="0" xfId="2" applyFont="1" applyFill="1" applyProtection="1">
      <protection hidden="1"/>
    </xf>
    <xf numFmtId="0" fontId="2" fillId="5" borderId="18" xfId="0" applyFont="1" applyFill="1" applyBorder="1" applyAlignment="1" applyProtection="1">
      <alignment horizontal="center" vertical="center"/>
      <protection hidden="1"/>
    </xf>
    <xf numFmtId="0" fontId="1" fillId="6" borderId="15" xfId="0" applyFont="1" applyFill="1" applyBorder="1" applyAlignment="1" applyProtection="1">
      <alignment vertical="center"/>
      <protection hidden="1"/>
    </xf>
    <xf numFmtId="0" fontId="2" fillId="8" borderId="15" xfId="0" applyFont="1" applyFill="1" applyBorder="1" applyAlignment="1" applyProtection="1">
      <alignment vertical="center"/>
      <protection hidden="1"/>
    </xf>
    <xf numFmtId="49" fontId="2" fillId="6" borderId="4" xfId="0" applyNumberFormat="1"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locked="0"/>
    </xf>
    <xf numFmtId="0" fontId="1" fillId="6" borderId="12" xfId="0" applyFont="1" applyFill="1" applyBorder="1" applyAlignment="1" applyProtection="1">
      <alignment vertical="center"/>
      <protection hidden="1"/>
    </xf>
    <xf numFmtId="2" fontId="1" fillId="6" borderId="20" xfId="0" applyNumberFormat="1" applyFont="1" applyFill="1" applyBorder="1" applyAlignment="1" applyProtection="1">
      <alignment vertical="center"/>
      <protection hidden="1"/>
    </xf>
    <xf numFmtId="0" fontId="1" fillId="0" borderId="0" xfId="0" applyFont="1" applyAlignment="1">
      <alignment vertical="center"/>
    </xf>
    <xf numFmtId="0" fontId="4" fillId="4" borderId="0" xfId="1" applyFont="1" applyFill="1" applyAlignment="1" applyProtection="1">
      <alignment horizontal="right" vertical="center"/>
      <protection hidden="1"/>
    </xf>
    <xf numFmtId="49" fontId="1" fillId="4" borderId="0" xfId="0" applyNumberFormat="1" applyFont="1" applyFill="1" applyAlignment="1" applyProtection="1">
      <alignment horizontal="right" vertical="center"/>
      <protection hidden="1"/>
    </xf>
    <xf numFmtId="0" fontId="1" fillId="3" borderId="18"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hidden="1"/>
    </xf>
    <xf numFmtId="0" fontId="2" fillId="3" borderId="18" xfId="0" applyFont="1" applyFill="1" applyBorder="1" applyAlignment="1" applyProtection="1">
      <alignment horizontal="center" vertical="center"/>
      <protection hidden="1"/>
    </xf>
    <xf numFmtId="0" fontId="1" fillId="4" borderId="0" xfId="0" applyFont="1" applyFill="1" applyAlignment="1" applyProtection="1">
      <alignment vertical="center" wrapText="1"/>
      <protection hidden="1"/>
    </xf>
    <xf numFmtId="0" fontId="5" fillId="4" borderId="0" xfId="0" applyFont="1" applyFill="1" applyAlignment="1">
      <alignment vertical="center"/>
    </xf>
    <xf numFmtId="0" fontId="5" fillId="0" borderId="0" xfId="0" applyFont="1" applyAlignment="1">
      <alignment vertical="center"/>
    </xf>
    <xf numFmtId="49" fontId="1" fillId="6" borderId="5" xfId="0" applyNumberFormat="1" applyFont="1" applyFill="1" applyBorder="1" applyAlignment="1" applyProtection="1">
      <alignment vertical="center"/>
      <protection hidden="1"/>
    </xf>
    <xf numFmtId="49" fontId="1" fillId="6" borderId="3" xfId="0" applyNumberFormat="1" applyFont="1" applyFill="1" applyBorder="1" applyAlignment="1" applyProtection="1">
      <alignment vertical="center"/>
      <protection hidden="1"/>
    </xf>
    <xf numFmtId="49" fontId="1" fillId="6" borderId="9" xfId="0" applyNumberFormat="1" applyFont="1" applyFill="1" applyBorder="1" applyAlignment="1" applyProtection="1">
      <alignment vertical="center"/>
      <protection hidden="1"/>
    </xf>
    <xf numFmtId="167" fontId="1" fillId="4" borderId="8" xfId="0" applyNumberFormat="1" applyFont="1" applyFill="1" applyBorder="1" applyAlignment="1" applyProtection="1">
      <alignment vertical="center"/>
      <protection hidden="1"/>
    </xf>
    <xf numFmtId="167" fontId="1" fillId="4" borderId="9" xfId="0" applyNumberFormat="1" applyFont="1" applyFill="1" applyBorder="1" applyAlignment="1" applyProtection="1">
      <alignment vertical="center"/>
      <protection hidden="1"/>
    </xf>
    <xf numFmtId="167" fontId="1" fillId="4" borderId="15" xfId="0" applyNumberFormat="1" applyFont="1" applyFill="1" applyBorder="1" applyAlignment="1" applyProtection="1">
      <alignment vertical="center"/>
      <protection hidden="1"/>
    </xf>
    <xf numFmtId="167" fontId="1" fillId="4" borderId="6" xfId="0" applyNumberFormat="1" applyFont="1" applyFill="1" applyBorder="1" applyAlignment="1" applyProtection="1">
      <alignment vertical="center"/>
      <protection hidden="1"/>
    </xf>
    <xf numFmtId="167" fontId="1" fillId="4" borderId="19" xfId="0" applyNumberFormat="1" applyFont="1" applyFill="1" applyBorder="1" applyAlignment="1" applyProtection="1">
      <alignment vertical="center"/>
      <protection hidden="1"/>
    </xf>
    <xf numFmtId="0" fontId="1" fillId="4" borderId="15" xfId="0" applyFont="1" applyFill="1" applyBorder="1" applyAlignment="1" applyProtection="1">
      <alignment vertical="center"/>
      <protection hidden="1"/>
    </xf>
    <xf numFmtId="0" fontId="4" fillId="4" borderId="0" xfId="1" applyFont="1" applyFill="1" applyBorder="1" applyAlignment="1" applyProtection="1">
      <alignment horizontal="right" vertical="center"/>
      <protection hidden="1"/>
    </xf>
    <xf numFmtId="0" fontId="1" fillId="4" borderId="4" xfId="0" applyFont="1" applyFill="1" applyBorder="1" applyAlignment="1" applyProtection="1">
      <alignment horizontal="center" vertical="center"/>
      <protection hidden="1"/>
    </xf>
    <xf numFmtId="49" fontId="1" fillId="4" borderId="12" xfId="0" applyNumberFormat="1" applyFont="1" applyFill="1" applyBorder="1" applyAlignment="1" applyProtection="1">
      <alignment horizontal="center" vertical="center"/>
      <protection hidden="1"/>
    </xf>
    <xf numFmtId="0" fontId="1" fillId="4" borderId="5" xfId="0" applyFont="1" applyFill="1" applyBorder="1" applyAlignment="1" applyProtection="1">
      <alignment horizontal="center" vertical="center"/>
      <protection hidden="1"/>
    </xf>
    <xf numFmtId="49" fontId="1" fillId="4" borderId="10" xfId="0" applyNumberFormat="1"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49" fontId="1" fillId="4" borderId="11" xfId="0" applyNumberFormat="1"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 fillId="2" borderId="0" xfId="0" applyFont="1" applyFill="1" applyAlignment="1" applyProtection="1">
      <alignment vertical="top"/>
      <protection hidden="1"/>
    </xf>
    <xf numFmtId="0" fontId="9" fillId="2" borderId="0" xfId="0" applyFont="1" applyFill="1" applyAlignment="1" applyProtection="1">
      <alignment vertical="center"/>
      <protection hidden="1"/>
    </xf>
    <xf numFmtId="0" fontId="1" fillId="6" borderId="3" xfId="0" applyFont="1" applyFill="1" applyBorder="1" applyAlignment="1" applyProtection="1">
      <alignment vertical="center"/>
      <protection hidden="1"/>
    </xf>
    <xf numFmtId="0" fontId="1" fillId="6" borderId="4" xfId="0" applyFont="1" applyFill="1" applyBorder="1" applyAlignment="1" applyProtection="1">
      <alignment vertical="center"/>
      <protection hidden="1"/>
    </xf>
    <xf numFmtId="0" fontId="1" fillId="6" borderId="8" xfId="0" applyFont="1" applyFill="1" applyBorder="1" applyAlignment="1" applyProtection="1">
      <alignment horizontal="left" vertical="center" wrapText="1"/>
      <protection hidden="1"/>
    </xf>
    <xf numFmtId="0" fontId="1" fillId="6" borderId="12" xfId="0" applyFont="1" applyFill="1" applyBorder="1" applyAlignment="1" applyProtection="1">
      <alignment horizontal="left" vertical="center" wrapText="1"/>
      <protection hidden="1"/>
    </xf>
    <xf numFmtId="0" fontId="2" fillId="6" borderId="0" xfId="0" applyFont="1" applyFill="1" applyAlignment="1" applyProtection="1">
      <alignment vertical="top"/>
      <protection hidden="1"/>
    </xf>
    <xf numFmtId="49" fontId="1" fillId="6" borderId="0" xfId="0" applyNumberFormat="1" applyFont="1" applyFill="1" applyAlignment="1" applyProtection="1">
      <alignment vertical="center"/>
      <protection hidden="1"/>
    </xf>
    <xf numFmtId="49" fontId="1" fillId="6" borderId="10" xfId="0" applyNumberFormat="1" applyFont="1" applyFill="1" applyBorder="1" applyAlignment="1" applyProtection="1">
      <alignment vertical="center"/>
      <protection hidden="1"/>
    </xf>
    <xf numFmtId="0" fontId="1" fillId="6" borderId="8" xfId="0" applyFont="1" applyFill="1" applyBorder="1" applyAlignment="1" applyProtection="1">
      <alignment vertical="center" wrapText="1"/>
      <protection hidden="1"/>
    </xf>
    <xf numFmtId="0" fontId="1" fillId="6" borderId="12" xfId="0" applyFont="1" applyFill="1" applyBorder="1" applyAlignment="1" applyProtection="1">
      <alignment vertical="center" wrapText="1"/>
      <protection hidden="1"/>
    </xf>
    <xf numFmtId="0" fontId="1" fillId="6" borderId="0" xfId="0" applyFont="1" applyFill="1" applyAlignment="1" applyProtection="1">
      <alignment vertical="top"/>
      <protection hidden="1"/>
    </xf>
    <xf numFmtId="0" fontId="1" fillId="6" borderId="9" xfId="0" applyFont="1" applyFill="1" applyBorder="1" applyAlignment="1" applyProtection="1">
      <alignment vertical="top"/>
      <protection hidden="1"/>
    </xf>
    <xf numFmtId="165" fontId="1" fillId="4" borderId="9" xfId="0" applyNumberFormat="1" applyFont="1" applyFill="1" applyBorder="1" applyAlignment="1" applyProtection="1">
      <alignment horizontal="left" vertical="center"/>
      <protection hidden="1"/>
    </xf>
    <xf numFmtId="0" fontId="2" fillId="4" borderId="15" xfId="0" applyFont="1" applyFill="1" applyBorder="1" applyAlignment="1" applyProtection="1">
      <alignment vertical="center"/>
      <protection hidden="1"/>
    </xf>
    <xf numFmtId="49" fontId="2" fillId="3" borderId="6"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vertical="center"/>
      <protection hidden="1"/>
    </xf>
    <xf numFmtId="49" fontId="2" fillId="3" borderId="1"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vertical="center"/>
      <protection hidden="1"/>
    </xf>
    <xf numFmtId="49" fontId="2" fillId="3" borderId="2" xfId="0" applyNumberFormat="1" applyFont="1" applyFill="1" applyBorder="1" applyAlignment="1" applyProtection="1">
      <alignment horizontal="left" vertical="center"/>
      <protection locked="0"/>
    </xf>
    <xf numFmtId="49" fontId="2" fillId="3" borderId="2" xfId="0" applyNumberFormat="1" applyFont="1" applyFill="1" applyBorder="1" applyAlignment="1" applyProtection="1">
      <alignment vertical="center"/>
      <protection hidden="1"/>
    </xf>
    <xf numFmtId="0" fontId="4" fillId="4" borderId="0" xfId="1" applyFont="1" applyFill="1" applyBorder="1" applyAlignment="1" applyProtection="1">
      <alignment vertical="center"/>
      <protection hidden="1"/>
    </xf>
    <xf numFmtId="0" fontId="10" fillId="4" borderId="0" xfId="0" applyFont="1" applyFill="1" applyAlignment="1" applyProtection="1">
      <alignment vertical="center"/>
      <protection hidden="1"/>
    </xf>
    <xf numFmtId="0" fontId="2" fillId="5" borderId="4" xfId="0" applyFont="1" applyFill="1" applyBorder="1" applyAlignment="1" applyProtection="1">
      <alignment horizontal="center" vertical="center"/>
      <protection hidden="1"/>
    </xf>
    <xf numFmtId="0" fontId="2" fillId="5" borderId="8" xfId="0" applyFont="1" applyFill="1" applyBorder="1" applyAlignment="1" applyProtection="1">
      <alignment vertical="center"/>
      <protection hidden="1"/>
    </xf>
    <xf numFmtId="0" fontId="2" fillId="5" borderId="8" xfId="0" applyFont="1" applyFill="1" applyBorder="1" applyAlignment="1" applyProtection="1">
      <alignment horizontal="right" vertical="center"/>
      <protection hidden="1"/>
    </xf>
    <xf numFmtId="0" fontId="2" fillId="5" borderId="12" xfId="0" applyFont="1" applyFill="1" applyBorder="1" applyAlignment="1" applyProtection="1">
      <alignment vertical="center"/>
      <protection hidden="1"/>
    </xf>
    <xf numFmtId="0" fontId="1" fillId="5" borderId="5" xfId="0" applyFont="1" applyFill="1" applyBorder="1" applyAlignment="1" applyProtection="1">
      <alignment vertical="center"/>
      <protection hidden="1"/>
    </xf>
    <xf numFmtId="0" fontId="1" fillId="5" borderId="0" xfId="0" applyFont="1" applyFill="1" applyAlignment="1" applyProtection="1">
      <alignment vertical="center"/>
      <protection hidden="1"/>
    </xf>
    <xf numFmtId="0" fontId="2" fillId="5" borderId="5" xfId="0" applyFont="1" applyFill="1" applyBorder="1" applyAlignment="1" applyProtection="1">
      <alignment vertical="center"/>
      <protection hidden="1"/>
    </xf>
    <xf numFmtId="0" fontId="2" fillId="5" borderId="0" xfId="0" applyFont="1" applyFill="1" applyAlignment="1" applyProtection="1">
      <alignment vertical="center"/>
      <protection hidden="1"/>
    </xf>
    <xf numFmtId="0" fontId="2" fillId="5" borderId="0" xfId="0" applyFont="1" applyFill="1" applyAlignment="1" applyProtection="1">
      <alignment horizontal="right" vertical="center"/>
      <protection hidden="1"/>
    </xf>
    <xf numFmtId="2" fontId="2" fillId="5" borderId="10" xfId="0" applyNumberFormat="1" applyFont="1" applyFill="1" applyBorder="1" applyAlignment="1" applyProtection="1">
      <alignment vertical="center"/>
      <protection hidden="1"/>
    </xf>
    <xf numFmtId="0" fontId="2" fillId="5" borderId="3" xfId="0" applyFont="1" applyFill="1" applyBorder="1" applyAlignment="1" applyProtection="1">
      <alignment vertical="center"/>
      <protection hidden="1"/>
    </xf>
    <xf numFmtId="0" fontId="2" fillId="5" borderId="9" xfId="0" applyFont="1" applyFill="1" applyBorder="1" applyAlignment="1" applyProtection="1">
      <alignment vertical="center"/>
      <protection hidden="1"/>
    </xf>
    <xf numFmtId="0" fontId="2" fillId="5" borderId="9" xfId="0" applyFont="1" applyFill="1" applyBorder="1" applyAlignment="1" applyProtection="1">
      <alignment horizontal="right" vertical="center"/>
      <protection hidden="1"/>
    </xf>
    <xf numFmtId="0" fontId="1" fillId="6" borderId="0" xfId="0" applyFont="1" applyFill="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2" fillId="5" borderId="8" xfId="0" applyFont="1" applyFill="1" applyBorder="1" applyAlignment="1" applyProtection="1">
      <alignment vertical="center" wrapText="1"/>
      <protection hidden="1"/>
    </xf>
    <xf numFmtId="0" fontId="2" fillId="5" borderId="12" xfId="0" applyFont="1" applyFill="1" applyBorder="1" applyAlignment="1" applyProtection="1">
      <alignment vertical="center" wrapText="1"/>
      <protection hidden="1"/>
    </xf>
    <xf numFmtId="0" fontId="2" fillId="5" borderId="3" xfId="0" applyFont="1" applyFill="1" applyBorder="1" applyAlignment="1" applyProtection="1">
      <alignment vertical="center" wrapText="1"/>
      <protection hidden="1"/>
    </xf>
    <xf numFmtId="0" fontId="2" fillId="5" borderId="9" xfId="0" applyFont="1" applyFill="1" applyBorder="1" applyAlignment="1" applyProtection="1">
      <alignment vertical="center" wrapText="1"/>
      <protection hidden="1"/>
    </xf>
    <xf numFmtId="0" fontId="2" fillId="5" borderId="11" xfId="0" applyFont="1" applyFill="1" applyBorder="1" applyAlignment="1" applyProtection="1">
      <alignment vertical="center" wrapText="1"/>
      <protection hidden="1"/>
    </xf>
    <xf numFmtId="0" fontId="1" fillId="5" borderId="4" xfId="0" applyFont="1" applyFill="1" applyBorder="1" applyAlignment="1" applyProtection="1">
      <alignment vertical="center" wrapText="1"/>
      <protection hidden="1"/>
    </xf>
    <xf numFmtId="0" fontId="1" fillId="6" borderId="8" xfId="0" applyFont="1" applyFill="1" applyBorder="1" applyAlignment="1" applyProtection="1">
      <alignment horizontal="center" vertical="center"/>
      <protection hidden="1"/>
    </xf>
    <xf numFmtId="0" fontId="1" fillId="6" borderId="12" xfId="0" applyFont="1" applyFill="1" applyBorder="1" applyAlignment="1" applyProtection="1">
      <alignment horizontal="center" vertical="center"/>
      <protection hidden="1"/>
    </xf>
    <xf numFmtId="0" fontId="1" fillId="6" borderId="9"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vertical="top" wrapText="1"/>
      <protection hidden="1"/>
    </xf>
    <xf numFmtId="0" fontId="2" fillId="6" borderId="5" xfId="0" applyFont="1" applyFill="1" applyBorder="1" applyAlignment="1" applyProtection="1">
      <alignment vertical="top" wrapText="1"/>
      <protection hidden="1"/>
    </xf>
    <xf numFmtId="0" fontId="2" fillId="6" borderId="5" xfId="0" applyFont="1" applyFill="1" applyBorder="1" applyAlignment="1" applyProtection="1">
      <alignment vertical="center"/>
      <protection hidden="1"/>
    </xf>
    <xf numFmtId="0" fontId="2" fillId="6" borderId="16"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1" fillId="2" borderId="10" xfId="0" applyFont="1" applyFill="1" applyBorder="1" applyAlignment="1" applyProtection="1">
      <alignment vertical="center"/>
      <protection hidden="1"/>
    </xf>
    <xf numFmtId="0" fontId="1" fillId="6" borderId="1" xfId="0" applyFont="1" applyFill="1" applyBorder="1" applyAlignment="1" applyProtection="1">
      <alignment vertical="center"/>
      <protection hidden="1"/>
    </xf>
    <xf numFmtId="0" fontId="2" fillId="7" borderId="21" xfId="0" applyFont="1" applyFill="1" applyBorder="1" applyAlignment="1" applyProtection="1">
      <alignment horizontal="center" vertical="center"/>
      <protection locked="0"/>
    </xf>
    <xf numFmtId="2" fontId="1" fillId="6" borderId="21" xfId="0" applyNumberFormat="1" applyFont="1" applyFill="1" applyBorder="1" applyAlignment="1" applyProtection="1">
      <alignment vertical="center"/>
      <protection hidden="1"/>
    </xf>
    <xf numFmtId="0" fontId="2" fillId="6" borderId="21" xfId="0" applyFont="1" applyFill="1" applyBorder="1" applyAlignment="1" applyProtection="1">
      <alignment horizontal="center" vertical="center"/>
      <protection hidden="1"/>
    </xf>
    <xf numFmtId="0" fontId="1" fillId="6" borderId="19" xfId="0" applyFont="1" applyFill="1" applyBorder="1" applyAlignment="1" applyProtection="1">
      <alignment vertical="center"/>
      <protection hidden="1"/>
    </xf>
    <xf numFmtId="0" fontId="2" fillId="7" borderId="20" xfId="0" applyFont="1" applyFill="1" applyBorder="1" applyAlignment="1" applyProtection="1">
      <alignment horizontal="center" vertical="center"/>
      <protection locked="0"/>
    </xf>
    <xf numFmtId="0" fontId="1" fillId="6" borderId="6" xfId="0" applyFont="1" applyFill="1" applyBorder="1" applyAlignment="1" applyProtection="1">
      <alignment vertical="center"/>
      <protection hidden="1"/>
    </xf>
    <xf numFmtId="0" fontId="2" fillId="7" borderId="22" xfId="0" applyFont="1" applyFill="1" applyBorder="1" applyAlignment="1" applyProtection="1">
      <alignment horizontal="center" vertical="center"/>
      <protection locked="0"/>
    </xf>
    <xf numFmtId="2" fontId="1" fillId="6" borderId="22" xfId="0" applyNumberFormat="1" applyFont="1" applyFill="1" applyBorder="1" applyAlignment="1" applyProtection="1">
      <alignment vertical="center"/>
      <protection hidden="1"/>
    </xf>
    <xf numFmtId="0" fontId="2" fillId="6" borderId="20" xfId="0" applyFont="1" applyFill="1" applyBorder="1" applyAlignment="1" applyProtection="1">
      <alignment horizontal="center" vertical="center"/>
      <protection hidden="1"/>
    </xf>
    <xf numFmtId="0" fontId="2" fillId="6" borderId="22" xfId="0" applyFont="1" applyFill="1" applyBorder="1" applyAlignment="1" applyProtection="1">
      <alignment horizontal="center" vertical="center"/>
      <protection hidden="1"/>
    </xf>
    <xf numFmtId="0" fontId="1" fillId="6" borderId="23" xfId="0" applyFont="1" applyFill="1" applyBorder="1" applyAlignment="1" applyProtection="1">
      <alignment vertical="center"/>
      <protection hidden="1"/>
    </xf>
    <xf numFmtId="0" fontId="1" fillId="6" borderId="24" xfId="0" applyFont="1" applyFill="1" applyBorder="1" applyAlignment="1" applyProtection="1">
      <alignment vertical="center"/>
      <protection hidden="1"/>
    </xf>
    <xf numFmtId="0" fontId="2" fillId="4" borderId="0" xfId="0" applyFont="1" applyFill="1" applyAlignment="1" applyProtection="1">
      <alignment horizontal="right" vertical="center"/>
      <protection hidden="1"/>
    </xf>
    <xf numFmtId="0" fontId="1" fillId="5" borderId="9" xfId="0" applyFont="1" applyFill="1" applyBorder="1" applyAlignment="1" applyProtection="1">
      <alignment vertical="center"/>
      <protection hidden="1"/>
    </xf>
    <xf numFmtId="49" fontId="2" fillId="2" borderId="9" xfId="0" applyNumberFormat="1" applyFont="1" applyFill="1" applyBorder="1" applyAlignment="1" applyProtection="1">
      <alignment vertical="center"/>
      <protection hidden="1"/>
    </xf>
    <xf numFmtId="0" fontId="1" fillId="2" borderId="9" xfId="0" applyFont="1" applyFill="1" applyBorder="1" applyAlignment="1" applyProtection="1">
      <alignment vertical="center"/>
      <protection hidden="1"/>
    </xf>
    <xf numFmtId="0" fontId="1" fillId="2" borderId="9" xfId="0" applyFont="1" applyFill="1" applyBorder="1" applyAlignment="1" applyProtection="1">
      <alignment horizontal="center" vertical="center"/>
      <protection hidden="1"/>
    </xf>
    <xf numFmtId="0" fontId="1" fillId="4" borderId="9" xfId="0" applyFont="1" applyFill="1" applyBorder="1" applyAlignment="1" applyProtection="1">
      <alignment horizontal="right" vertical="center"/>
      <protection hidden="1"/>
    </xf>
    <xf numFmtId="0" fontId="2" fillId="6" borderId="10"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49" fontId="2" fillId="6" borderId="25" xfId="0" applyNumberFormat="1" applyFont="1" applyFill="1" applyBorder="1" applyAlignment="1" applyProtection="1">
      <alignment horizontal="center" vertical="center"/>
      <protection hidden="1"/>
    </xf>
    <xf numFmtId="49" fontId="2" fillId="6" borderId="26" xfId="0" applyNumberFormat="1" applyFont="1" applyFill="1" applyBorder="1" applyAlignment="1" applyProtection="1">
      <alignment horizontal="center" vertical="center"/>
      <protection hidden="1"/>
    </xf>
    <xf numFmtId="49" fontId="1" fillId="6" borderId="26" xfId="0" applyNumberFormat="1" applyFont="1" applyFill="1" applyBorder="1" applyAlignment="1" applyProtection="1">
      <alignment horizontal="center" vertical="center"/>
      <protection hidden="1"/>
    </xf>
    <xf numFmtId="49" fontId="1" fillId="6" borderId="27" xfId="0" applyNumberFormat="1" applyFont="1" applyFill="1" applyBorder="1" applyAlignment="1" applyProtection="1">
      <alignment horizontal="center" vertical="center"/>
      <protection hidden="1"/>
    </xf>
    <xf numFmtId="49" fontId="1" fillId="6" borderId="18" xfId="0" applyNumberFormat="1" applyFont="1" applyFill="1" applyBorder="1" applyAlignment="1" applyProtection="1">
      <alignment horizontal="center" vertical="center"/>
      <protection hidden="1"/>
    </xf>
    <xf numFmtId="0" fontId="2" fillId="5" borderId="37" xfId="0" applyFont="1" applyFill="1" applyBorder="1" applyAlignment="1" applyProtection="1">
      <alignment horizontal="center" vertical="center"/>
      <protection hidden="1"/>
    </xf>
    <xf numFmtId="0" fontId="2" fillId="6" borderId="38" xfId="0" applyFont="1" applyFill="1" applyBorder="1" applyAlignment="1" applyProtection="1">
      <alignment horizontal="center" vertical="center"/>
      <protection hidden="1"/>
    </xf>
    <xf numFmtId="0" fontId="2" fillId="5" borderId="39" xfId="0" applyFont="1" applyFill="1" applyBorder="1" applyAlignment="1" applyProtection="1">
      <alignment horizontal="center" vertical="center"/>
      <protection hidden="1"/>
    </xf>
    <xf numFmtId="0" fontId="2" fillId="6" borderId="40" xfId="0" applyFont="1" applyFill="1" applyBorder="1" applyAlignment="1" applyProtection="1">
      <alignment horizontal="center" vertical="center"/>
      <protection hidden="1"/>
    </xf>
    <xf numFmtId="0" fontId="2" fillId="5" borderId="41" xfId="0" applyFont="1" applyFill="1" applyBorder="1" applyAlignment="1" applyProtection="1">
      <alignment horizontal="center" vertical="center"/>
      <protection hidden="1"/>
    </xf>
    <xf numFmtId="0" fontId="2" fillId="6" borderId="42" xfId="0" applyFont="1" applyFill="1" applyBorder="1" applyAlignment="1" applyProtection="1">
      <alignment horizontal="center" vertical="center"/>
      <protection hidden="1"/>
    </xf>
    <xf numFmtId="0" fontId="2" fillId="6" borderId="40" xfId="0" applyFont="1" applyFill="1" applyBorder="1" applyAlignment="1" applyProtection="1">
      <alignment horizontal="center" vertical="center"/>
      <protection locked="0" hidden="1"/>
    </xf>
    <xf numFmtId="0" fontId="2" fillId="5" borderId="43" xfId="0" applyFont="1" applyFill="1" applyBorder="1" applyAlignment="1" applyProtection="1">
      <alignment horizontal="center" vertical="center"/>
      <protection hidden="1"/>
    </xf>
    <xf numFmtId="0" fontId="2" fillId="6" borderId="44" xfId="0" applyFont="1" applyFill="1" applyBorder="1" applyAlignment="1" applyProtection="1">
      <alignment horizontal="center" vertical="center"/>
      <protection locked="0" hidden="1"/>
    </xf>
    <xf numFmtId="0" fontId="2" fillId="3" borderId="36" xfId="0" applyFont="1" applyFill="1" applyBorder="1" applyAlignment="1" applyProtection="1">
      <alignment horizontal="center" vertical="center"/>
      <protection hidden="1"/>
    </xf>
    <xf numFmtId="0" fontId="2" fillId="3" borderId="52" xfId="0" applyFont="1" applyFill="1" applyBorder="1" applyAlignment="1" applyProtection="1">
      <alignment horizontal="center" vertical="center"/>
      <protection hidden="1"/>
    </xf>
    <xf numFmtId="0" fontId="2" fillId="3" borderId="44" xfId="0" applyFont="1" applyFill="1" applyBorder="1" applyAlignment="1" applyProtection="1">
      <alignment horizontal="center" vertical="center"/>
      <protection hidden="1"/>
    </xf>
    <xf numFmtId="49" fontId="2" fillId="6" borderId="55" xfId="0" applyNumberFormat="1" applyFont="1" applyFill="1" applyBorder="1" applyAlignment="1" applyProtection="1">
      <alignment horizontal="center" vertical="center"/>
      <protection hidden="1"/>
    </xf>
    <xf numFmtId="2" fontId="1" fillId="6" borderId="38" xfId="0" applyNumberFormat="1" applyFont="1" applyFill="1" applyBorder="1" applyAlignment="1" applyProtection="1">
      <alignment vertical="center"/>
      <protection hidden="1"/>
    </xf>
    <xf numFmtId="2" fontId="1" fillId="6" borderId="40" xfId="0" applyNumberFormat="1" applyFont="1" applyFill="1" applyBorder="1" applyAlignment="1" applyProtection="1">
      <alignment vertical="center"/>
      <protection hidden="1"/>
    </xf>
    <xf numFmtId="49" fontId="1" fillId="6" borderId="47" xfId="0" applyNumberFormat="1" applyFont="1" applyFill="1" applyBorder="1" applyAlignment="1" applyProtection="1">
      <alignment horizontal="center" vertical="center"/>
      <protection hidden="1"/>
    </xf>
    <xf numFmtId="2" fontId="1" fillId="6" borderId="42" xfId="0" applyNumberFormat="1" applyFont="1" applyFill="1" applyBorder="1" applyAlignment="1" applyProtection="1">
      <alignment vertical="center"/>
      <protection hidden="1"/>
    </xf>
    <xf numFmtId="49" fontId="2" fillId="6" borderId="49" xfId="0" applyNumberFormat="1" applyFont="1" applyFill="1" applyBorder="1" applyAlignment="1" applyProtection="1">
      <alignment horizontal="center" vertical="center"/>
      <protection hidden="1"/>
    </xf>
    <xf numFmtId="0" fontId="1" fillId="6" borderId="50" xfId="0" applyFont="1" applyFill="1" applyBorder="1" applyAlignment="1" applyProtection="1">
      <alignment vertical="center"/>
      <protection hidden="1"/>
    </xf>
    <xf numFmtId="0" fontId="2" fillId="3" borderId="52" xfId="0" applyFont="1" applyFill="1" applyBorder="1" applyAlignment="1" applyProtection="1">
      <alignment horizontal="center" vertical="center"/>
      <protection locked="0"/>
    </xf>
    <xf numFmtId="2" fontId="1" fillId="6" borderId="44" xfId="0" applyNumberFormat="1" applyFont="1" applyFill="1" applyBorder="1" applyAlignment="1" applyProtection="1">
      <alignment vertical="center"/>
      <protection hidden="1"/>
    </xf>
    <xf numFmtId="0" fontId="2" fillId="6" borderId="56" xfId="0" applyFont="1" applyFill="1" applyBorder="1" applyAlignment="1" applyProtection="1">
      <alignment horizontal="center" vertical="center"/>
      <protection hidden="1"/>
    </xf>
    <xf numFmtId="0" fontId="1" fillId="6" borderId="51" xfId="0" applyFont="1" applyFill="1" applyBorder="1" applyAlignment="1" applyProtection="1">
      <alignment vertical="center"/>
      <protection hidden="1"/>
    </xf>
    <xf numFmtId="0" fontId="2" fillId="7" borderId="52" xfId="0" applyFont="1" applyFill="1" applyBorder="1" applyAlignment="1" applyProtection="1">
      <alignment horizontal="center" vertical="center"/>
      <protection locked="0"/>
    </xf>
    <xf numFmtId="0" fontId="2" fillId="6" borderId="52" xfId="0" applyFont="1" applyFill="1" applyBorder="1" applyAlignment="1" applyProtection="1">
      <alignment horizontal="center" vertical="center"/>
      <protection hidden="1"/>
    </xf>
    <xf numFmtId="0" fontId="2" fillId="2" borderId="0" xfId="0" applyFont="1" applyFill="1" applyAlignment="1" applyProtection="1">
      <alignment vertical="top"/>
      <protection hidden="1"/>
    </xf>
    <xf numFmtId="0" fontId="1" fillId="6" borderId="30" xfId="0" applyFont="1" applyFill="1" applyBorder="1" applyAlignment="1" applyProtection="1">
      <alignment vertical="center"/>
      <protection hidden="1"/>
    </xf>
    <xf numFmtId="0" fontId="1" fillId="6" borderId="31" xfId="0" applyFont="1" applyFill="1" applyBorder="1" applyAlignment="1" applyProtection="1">
      <alignment vertical="center"/>
      <protection hidden="1"/>
    </xf>
    <xf numFmtId="0" fontId="1" fillId="6" borderId="32" xfId="0" applyFont="1" applyFill="1" applyBorder="1" applyAlignment="1" applyProtection="1">
      <alignment vertical="center"/>
      <protection hidden="1"/>
    </xf>
    <xf numFmtId="0" fontId="1" fillId="4" borderId="18" xfId="0" applyFont="1" applyFill="1" applyBorder="1" applyAlignment="1" applyProtection="1">
      <alignment horizontal="center" vertical="center"/>
      <protection hidden="1"/>
    </xf>
    <xf numFmtId="0" fontId="1" fillId="4" borderId="15" xfId="1" applyFont="1" applyFill="1" applyBorder="1" applyAlignment="1" applyProtection="1">
      <alignment vertical="center"/>
      <protection hidden="1"/>
    </xf>
    <xf numFmtId="0" fontId="2" fillId="5" borderId="20" xfId="0" applyFont="1" applyFill="1" applyBorder="1" applyAlignment="1" applyProtection="1">
      <alignment horizontal="center" vertical="center"/>
      <protection hidden="1"/>
    </xf>
    <xf numFmtId="0" fontId="2" fillId="5" borderId="22" xfId="0" applyFont="1" applyFill="1" applyBorder="1" applyAlignment="1" applyProtection="1">
      <alignment horizontal="center" vertical="center"/>
      <protection hidden="1"/>
    </xf>
    <xf numFmtId="0" fontId="1" fillId="6" borderId="45" xfId="0" applyFont="1" applyFill="1" applyBorder="1" applyAlignment="1" applyProtection="1">
      <alignment horizontal="left" vertical="center"/>
      <protection hidden="1"/>
    </xf>
    <xf numFmtId="0" fontId="2" fillId="3" borderId="56" xfId="0" applyFont="1" applyFill="1" applyBorder="1" applyAlignment="1" applyProtection="1">
      <alignment horizontal="center" vertical="center"/>
      <protection locked="0"/>
    </xf>
    <xf numFmtId="2" fontId="1" fillId="6" borderId="57" xfId="0" applyNumberFormat="1" applyFont="1" applyFill="1" applyBorder="1" applyAlignment="1" applyProtection="1">
      <alignment vertical="center"/>
      <protection hidden="1"/>
    </xf>
    <xf numFmtId="0" fontId="2" fillId="5" borderId="58" xfId="0" applyFont="1" applyFill="1" applyBorder="1" applyAlignment="1" applyProtection="1">
      <alignment horizontal="center" vertical="center"/>
      <protection hidden="1"/>
    </xf>
    <xf numFmtId="0" fontId="2" fillId="6" borderId="57" xfId="0" applyFont="1" applyFill="1" applyBorder="1" applyAlignment="1" applyProtection="1">
      <alignment horizontal="center" vertical="center"/>
      <protection hidden="1"/>
    </xf>
    <xf numFmtId="2" fontId="1" fillId="6" borderId="60" xfId="0" applyNumberFormat="1" applyFont="1" applyFill="1" applyBorder="1" applyAlignment="1" applyProtection="1">
      <alignment vertical="center"/>
      <protection hidden="1"/>
    </xf>
    <xf numFmtId="0" fontId="2" fillId="5" borderId="61" xfId="0" applyFont="1" applyFill="1" applyBorder="1" applyAlignment="1" applyProtection="1">
      <alignment horizontal="center" vertical="center"/>
      <protection hidden="1"/>
    </xf>
    <xf numFmtId="0" fontId="2" fillId="6" borderId="60" xfId="0" applyFont="1" applyFill="1" applyBorder="1" applyAlignment="1" applyProtection="1">
      <alignment horizontal="center" vertical="center"/>
      <protection hidden="1"/>
    </xf>
    <xf numFmtId="0" fontId="1" fillId="6" borderId="45" xfId="0" applyFont="1" applyFill="1" applyBorder="1" applyAlignment="1" applyProtection="1">
      <alignment vertical="center"/>
      <protection hidden="1"/>
    </xf>
    <xf numFmtId="0" fontId="1" fillId="6" borderId="56" xfId="0" applyFont="1" applyFill="1" applyBorder="1" applyAlignment="1" applyProtection="1">
      <alignment horizontal="center" vertical="center"/>
      <protection hidden="1"/>
    </xf>
    <xf numFmtId="0" fontId="1" fillId="6" borderId="7" xfId="0" applyFont="1" applyFill="1" applyBorder="1" applyAlignment="1" applyProtection="1">
      <alignment horizontal="center" vertical="center"/>
      <protection hidden="1"/>
    </xf>
    <xf numFmtId="0" fontId="1" fillId="6" borderId="59"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 fillId="5" borderId="21" xfId="0" applyFont="1" applyFill="1" applyBorder="1" applyAlignment="1" applyProtection="1">
      <alignment horizontal="center" vertical="center"/>
      <protection hidden="1"/>
    </xf>
    <xf numFmtId="0" fontId="2" fillId="6" borderId="3" xfId="0" applyFont="1" applyFill="1" applyBorder="1" applyAlignment="1" applyProtection="1">
      <alignment vertical="center"/>
      <protection hidden="1"/>
    </xf>
    <xf numFmtId="0" fontId="2" fillId="6" borderId="9" xfId="0" applyFont="1" applyFill="1" applyBorder="1" applyAlignment="1" applyProtection="1">
      <alignment vertical="center"/>
      <protection hidden="1"/>
    </xf>
    <xf numFmtId="2" fontId="12" fillId="6" borderId="15" xfId="0" applyNumberFormat="1" applyFont="1" applyFill="1" applyBorder="1" applyAlignment="1" applyProtection="1">
      <alignment vertical="center"/>
      <protection hidden="1"/>
    </xf>
    <xf numFmtId="0" fontId="2" fillId="3" borderId="22" xfId="0" applyFont="1" applyFill="1" applyBorder="1" applyAlignment="1" applyProtection="1">
      <alignment horizontal="center" vertical="center"/>
      <protection locked="0"/>
    </xf>
    <xf numFmtId="2" fontId="1" fillId="6" borderId="62" xfId="0" applyNumberFormat="1" applyFont="1" applyFill="1" applyBorder="1" applyAlignment="1" applyProtection="1">
      <alignment vertical="center"/>
      <protection hidden="1"/>
    </xf>
    <xf numFmtId="0" fontId="2" fillId="3" borderId="20" xfId="0" applyFont="1" applyFill="1" applyBorder="1" applyAlignment="1" applyProtection="1">
      <alignment horizontal="center" vertical="center"/>
      <protection locked="0"/>
    </xf>
    <xf numFmtId="2" fontId="1" fillId="6" borderId="63" xfId="0" applyNumberFormat="1" applyFont="1" applyFill="1" applyBorder="1" applyAlignment="1" applyProtection="1">
      <alignment vertical="center"/>
      <protection hidden="1"/>
    </xf>
    <xf numFmtId="0" fontId="2" fillId="5" borderId="64" xfId="0" applyFont="1" applyFill="1" applyBorder="1" applyAlignment="1" applyProtection="1">
      <alignment horizontal="center" vertical="center"/>
      <protection hidden="1"/>
    </xf>
    <xf numFmtId="0" fontId="2" fillId="6" borderId="62" xfId="0" applyFont="1" applyFill="1" applyBorder="1" applyAlignment="1" applyProtection="1">
      <alignment horizontal="center" vertical="center"/>
      <protection hidden="1"/>
    </xf>
    <xf numFmtId="0" fontId="2" fillId="5" borderId="65" xfId="0" applyFont="1" applyFill="1" applyBorder="1" applyAlignment="1" applyProtection="1">
      <alignment horizontal="center" vertical="center"/>
      <protection hidden="1"/>
    </xf>
    <xf numFmtId="0" fontId="2" fillId="6" borderId="63" xfId="0" applyFont="1" applyFill="1" applyBorder="1" applyAlignment="1" applyProtection="1">
      <alignment horizontal="center" vertical="center"/>
      <protection hidden="1"/>
    </xf>
    <xf numFmtId="0" fontId="1" fillId="6" borderId="22" xfId="0" applyFont="1" applyFill="1" applyBorder="1" applyAlignment="1" applyProtection="1">
      <alignment horizontal="center" vertical="center"/>
      <protection hidden="1"/>
    </xf>
    <xf numFmtId="0" fontId="1" fillId="6" borderId="20" xfId="0" applyFont="1" applyFill="1" applyBorder="1" applyAlignment="1" applyProtection="1">
      <alignment horizontal="center" vertical="center"/>
      <protection hidden="1"/>
    </xf>
    <xf numFmtId="0" fontId="6" fillId="4" borderId="0" xfId="0" applyFont="1" applyFill="1" applyAlignment="1" applyProtection="1">
      <alignment vertical="center"/>
      <protection hidden="1"/>
    </xf>
    <xf numFmtId="0" fontId="1" fillId="6" borderId="28" xfId="0" applyFont="1" applyFill="1" applyBorder="1" applyAlignment="1" applyProtection="1">
      <alignment vertical="center"/>
      <protection hidden="1"/>
    </xf>
    <xf numFmtId="0" fontId="1" fillId="6" borderId="29" xfId="0" applyFont="1" applyFill="1" applyBorder="1" applyAlignment="1" applyProtection="1">
      <alignment vertical="center"/>
      <protection hidden="1"/>
    </xf>
    <xf numFmtId="0" fontId="1" fillId="5" borderId="10" xfId="0" applyFont="1" applyFill="1" applyBorder="1" applyAlignment="1" applyProtection="1">
      <alignment vertical="center"/>
      <protection hidden="1"/>
    </xf>
    <xf numFmtId="0" fontId="1" fillId="5" borderId="3" xfId="0" applyFont="1" applyFill="1" applyBorder="1" applyAlignment="1" applyProtection="1">
      <alignment vertical="center"/>
      <protection hidden="1"/>
    </xf>
    <xf numFmtId="0" fontId="1" fillId="5" borderId="11" xfId="0" applyFont="1" applyFill="1" applyBorder="1" applyAlignment="1" applyProtection="1">
      <alignment vertical="center"/>
      <protection hidden="1"/>
    </xf>
    <xf numFmtId="0" fontId="1" fillId="4" borderId="12" xfId="0" applyFont="1" applyFill="1" applyBorder="1" applyAlignment="1" applyProtection="1">
      <alignment horizontal="center" vertical="center"/>
      <protection hidden="1"/>
    </xf>
    <xf numFmtId="0" fontId="1" fillId="4" borderId="10"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164" fontId="7" fillId="4" borderId="0" xfId="0" applyNumberFormat="1" applyFont="1" applyFill="1" applyAlignment="1" applyProtection="1">
      <alignment horizontal="center" vertical="center"/>
      <protection hidden="1"/>
    </xf>
    <xf numFmtId="0" fontId="2" fillId="3" borderId="59" xfId="0" applyFont="1" applyFill="1" applyBorder="1" applyAlignment="1" applyProtection="1">
      <alignment horizontal="center" vertical="center"/>
      <protection locked="0"/>
    </xf>
    <xf numFmtId="0" fontId="1" fillId="5" borderId="10" xfId="0" applyFont="1" applyFill="1" applyBorder="1" applyAlignment="1" applyProtection="1">
      <alignment horizontal="right" vertical="center"/>
      <protection hidden="1"/>
    </xf>
    <xf numFmtId="0" fontId="1" fillId="5" borderId="4" xfId="0" applyFont="1" applyFill="1" applyBorder="1" applyAlignment="1" applyProtection="1">
      <alignment vertical="center"/>
      <protection hidden="1"/>
    </xf>
    <xf numFmtId="0" fontId="1" fillId="5" borderId="8" xfId="0" applyFont="1" applyFill="1" applyBorder="1" applyAlignment="1" applyProtection="1">
      <alignment vertical="center"/>
      <protection hidden="1"/>
    </xf>
    <xf numFmtId="0" fontId="1" fillId="5" borderId="12" xfId="0" applyFont="1" applyFill="1" applyBorder="1" applyAlignment="1" applyProtection="1">
      <alignment vertical="center"/>
      <protection hidden="1"/>
    </xf>
    <xf numFmtId="2" fontId="1" fillId="5" borderId="0" xfId="0" applyNumberFormat="1" applyFont="1" applyFill="1" applyAlignment="1" applyProtection="1">
      <alignment vertical="center"/>
      <protection hidden="1"/>
    </xf>
    <xf numFmtId="0" fontId="1" fillId="5" borderId="4" xfId="0" applyFont="1" applyFill="1" applyBorder="1" applyAlignment="1" applyProtection="1">
      <alignment horizontal="left" vertical="center" wrapText="1"/>
      <protection hidden="1"/>
    </xf>
    <xf numFmtId="0" fontId="1" fillId="5" borderId="8" xfId="0" applyFont="1" applyFill="1" applyBorder="1" applyAlignment="1" applyProtection="1">
      <alignment horizontal="left" vertical="center" wrapText="1"/>
      <protection hidden="1"/>
    </xf>
    <xf numFmtId="0" fontId="1" fillId="5" borderId="12" xfId="0" applyFont="1" applyFill="1" applyBorder="1" applyAlignment="1" applyProtection="1">
      <alignment horizontal="left" vertical="center" wrapText="1"/>
      <protection hidden="1"/>
    </xf>
    <xf numFmtId="0" fontId="1" fillId="5" borderId="5" xfId="0" applyFont="1" applyFill="1" applyBorder="1" applyAlignment="1" applyProtection="1">
      <alignment horizontal="left" vertical="center" wrapText="1"/>
      <protection hidden="1"/>
    </xf>
    <xf numFmtId="0" fontId="1" fillId="5" borderId="0" xfId="0" applyFont="1" applyFill="1" applyAlignment="1" applyProtection="1">
      <alignment horizontal="left" vertical="center" wrapText="1"/>
      <protection hidden="1"/>
    </xf>
    <xf numFmtId="0" fontId="1" fillId="5" borderId="10" xfId="0" applyFont="1" applyFill="1" applyBorder="1" applyAlignment="1" applyProtection="1">
      <alignment horizontal="left" vertical="center" wrapText="1"/>
      <protection hidden="1"/>
    </xf>
    <xf numFmtId="0" fontId="1" fillId="4" borderId="0" xfId="0" applyFont="1" applyFill="1" applyAlignment="1" applyProtection="1">
      <alignment horizontal="center" vertical="center" wrapText="1"/>
      <protection hidden="1"/>
    </xf>
    <xf numFmtId="0" fontId="1" fillId="4" borderId="9" xfId="0" applyFont="1" applyFill="1" applyBorder="1" applyAlignment="1" applyProtection="1">
      <alignment horizontal="center" vertical="center" wrapText="1"/>
      <protection hidden="1"/>
    </xf>
    <xf numFmtId="165" fontId="1" fillId="4" borderId="15" xfId="0" applyNumberFormat="1" applyFont="1" applyFill="1" applyBorder="1" applyAlignment="1" applyProtection="1">
      <alignment horizontal="left" vertical="center"/>
      <protection hidden="1"/>
    </xf>
    <xf numFmtId="2" fontId="2" fillId="5" borderId="0" xfId="0" applyNumberFormat="1" applyFont="1" applyFill="1" applyAlignment="1" applyProtection="1">
      <alignment horizontal="right" vertical="center"/>
      <protection hidden="1"/>
    </xf>
    <xf numFmtId="2" fontId="2" fillId="5" borderId="10" xfId="0" applyNumberFormat="1" applyFont="1" applyFill="1" applyBorder="1" applyAlignment="1" applyProtection="1">
      <alignment horizontal="right" vertical="center"/>
      <protection hidden="1"/>
    </xf>
    <xf numFmtId="2" fontId="2" fillId="5" borderId="9" xfId="0" applyNumberFormat="1" applyFont="1" applyFill="1" applyBorder="1" applyAlignment="1" applyProtection="1">
      <alignment horizontal="right" vertical="center"/>
      <protection hidden="1"/>
    </xf>
    <xf numFmtId="2" fontId="2" fillId="5" borderId="11" xfId="0" applyNumberFormat="1" applyFont="1" applyFill="1" applyBorder="1" applyAlignment="1" applyProtection="1">
      <alignment horizontal="right" vertical="center"/>
      <protection hidden="1"/>
    </xf>
    <xf numFmtId="0" fontId="2" fillId="10" borderId="53" xfId="0" applyFont="1" applyFill="1" applyBorder="1" applyAlignment="1" applyProtection="1">
      <alignment horizontal="center" vertical="center"/>
      <protection hidden="1"/>
    </xf>
    <xf numFmtId="0" fontId="2" fillId="10" borderId="54" xfId="0" applyFont="1" applyFill="1" applyBorder="1" applyAlignment="1" applyProtection="1">
      <alignment horizontal="center" vertical="center"/>
      <protection hidden="1"/>
    </xf>
    <xf numFmtId="0" fontId="2" fillId="10" borderId="48" xfId="0" applyFont="1" applyFill="1" applyBorder="1" applyAlignment="1" applyProtection="1">
      <alignment horizontal="center" vertical="center"/>
      <protection hidden="1"/>
    </xf>
    <xf numFmtId="0" fontId="2" fillId="10" borderId="17" xfId="0" applyFont="1" applyFill="1" applyBorder="1" applyAlignment="1" applyProtection="1">
      <alignment horizontal="center" vertical="center"/>
      <protection hidden="1"/>
    </xf>
    <xf numFmtId="0" fontId="2" fillId="6" borderId="34" xfId="0" applyFont="1" applyFill="1" applyBorder="1" applyAlignment="1" applyProtection="1">
      <alignment horizontal="right" vertical="center"/>
      <protection hidden="1"/>
    </xf>
    <xf numFmtId="0" fontId="2" fillId="6" borderId="36" xfId="0" applyFont="1" applyFill="1" applyBorder="1" applyAlignment="1" applyProtection="1">
      <alignment horizontal="right" vertical="center"/>
      <protection hidden="1"/>
    </xf>
    <xf numFmtId="0" fontId="2" fillId="6" borderId="34" xfId="0" applyFont="1" applyFill="1" applyBorder="1" applyAlignment="1" applyProtection="1">
      <alignment horizontal="center" vertical="center"/>
      <protection hidden="1"/>
    </xf>
    <xf numFmtId="0" fontId="2" fillId="6" borderId="36" xfId="0" applyFont="1" applyFill="1" applyBorder="1" applyAlignment="1" applyProtection="1">
      <alignment horizontal="center" vertical="center"/>
      <protection hidden="1"/>
    </xf>
    <xf numFmtId="0" fontId="2" fillId="6" borderId="33" xfId="0" applyFont="1" applyFill="1" applyBorder="1" applyAlignment="1" applyProtection="1">
      <alignment horizontal="center" vertical="center"/>
      <protection hidden="1"/>
    </xf>
    <xf numFmtId="0" fontId="2" fillId="6" borderId="35" xfId="0" applyFont="1" applyFill="1" applyBorder="1" applyAlignment="1" applyProtection="1">
      <alignment horizontal="center" vertical="center"/>
      <protection hidden="1"/>
    </xf>
    <xf numFmtId="0" fontId="2" fillId="6" borderId="46" xfId="0" applyFont="1" applyFill="1" applyBorder="1" applyAlignment="1" applyProtection="1">
      <alignment horizontal="center" vertical="center"/>
      <protection hidden="1"/>
    </xf>
    <xf numFmtId="0" fontId="2" fillId="6" borderId="18" xfId="0" applyFont="1" applyFill="1" applyBorder="1" applyAlignment="1" applyProtection="1">
      <alignment horizontal="center" vertical="center"/>
      <protection hidden="1"/>
    </xf>
    <xf numFmtId="0" fontId="1" fillId="6" borderId="48" xfId="0" applyFont="1" applyFill="1" applyBorder="1" applyAlignment="1" applyProtection="1">
      <alignment horizontal="center" vertical="center"/>
      <protection hidden="1"/>
    </xf>
    <xf numFmtId="0" fontId="1" fillId="6" borderId="15" xfId="0" applyFont="1" applyFill="1" applyBorder="1" applyAlignment="1" applyProtection="1">
      <alignment horizontal="center" vertical="center"/>
      <protection hidden="1"/>
    </xf>
    <xf numFmtId="0" fontId="1" fillId="6" borderId="17"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wrapText="1"/>
      <protection hidden="1"/>
    </xf>
    <xf numFmtId="0" fontId="1" fillId="6" borderId="25" xfId="0" applyFont="1" applyFill="1" applyBorder="1" applyAlignment="1" applyProtection="1">
      <alignment horizontal="center" vertical="center" wrapText="1"/>
      <protection hidden="1"/>
    </xf>
    <xf numFmtId="0" fontId="1" fillId="6" borderId="29" xfId="0" applyFont="1" applyFill="1" applyBorder="1" applyAlignment="1" applyProtection="1">
      <alignment horizontal="center" vertical="center" wrapText="1"/>
      <protection hidden="1"/>
    </xf>
    <xf numFmtId="0" fontId="1" fillId="6" borderId="26" xfId="0" applyFont="1" applyFill="1" applyBorder="1" applyAlignment="1" applyProtection="1">
      <alignment horizontal="center" vertical="center" wrapText="1"/>
      <protection hidden="1"/>
    </xf>
    <xf numFmtId="0" fontId="1" fillId="6" borderId="30" xfId="0" applyFont="1" applyFill="1" applyBorder="1" applyAlignment="1" applyProtection="1">
      <alignment horizontal="center" vertical="center" wrapText="1"/>
      <protection hidden="1"/>
    </xf>
    <xf numFmtId="0" fontId="1" fillId="6" borderId="27" xfId="0" applyFont="1" applyFill="1" applyBorder="1" applyAlignment="1" applyProtection="1">
      <alignment horizontal="center" vertical="center" wrapText="1"/>
      <protection hidden="1"/>
    </xf>
    <xf numFmtId="0" fontId="1" fillId="6" borderId="32" xfId="0" applyFont="1" applyFill="1" applyBorder="1" applyAlignment="1" applyProtection="1">
      <alignment horizontal="center" vertical="center" wrapText="1"/>
      <protection hidden="1"/>
    </xf>
    <xf numFmtId="0" fontId="1" fillId="6" borderId="49" xfId="0" applyFont="1" applyFill="1" applyBorder="1" applyAlignment="1" applyProtection="1">
      <alignment horizontal="center" vertical="center"/>
      <protection hidden="1"/>
    </xf>
    <xf numFmtId="0" fontId="1" fillId="6" borderId="50" xfId="0" applyFont="1" applyFill="1" applyBorder="1" applyAlignment="1" applyProtection="1">
      <alignment horizontal="center" vertical="center"/>
      <protection hidden="1"/>
    </xf>
    <xf numFmtId="0" fontId="1" fillId="6" borderId="51" xfId="0" applyFont="1" applyFill="1" applyBorder="1" applyAlignment="1" applyProtection="1">
      <alignment horizontal="center" vertical="center"/>
      <protection hidden="1"/>
    </xf>
    <xf numFmtId="0" fontId="2" fillId="6" borderId="25" xfId="0" applyFont="1" applyFill="1" applyBorder="1" applyAlignment="1" applyProtection="1">
      <alignment horizontal="center" vertical="center" wrapText="1"/>
      <protection hidden="1"/>
    </xf>
    <xf numFmtId="0" fontId="2" fillId="6" borderId="45" xfId="0" applyFont="1" applyFill="1" applyBorder="1" applyAlignment="1" applyProtection="1">
      <alignment horizontal="center" vertical="center" wrapText="1"/>
      <protection hidden="1"/>
    </xf>
    <xf numFmtId="0" fontId="2" fillId="6" borderId="47" xfId="0" applyFont="1" applyFill="1" applyBorder="1" applyAlignment="1" applyProtection="1">
      <alignment horizontal="center" vertical="center" wrapText="1"/>
      <protection hidden="1"/>
    </xf>
    <xf numFmtId="0" fontId="2" fillId="6" borderId="11" xfId="0" applyFont="1" applyFill="1" applyBorder="1" applyAlignment="1" applyProtection="1">
      <alignment horizontal="center" vertical="center" wrapText="1"/>
      <protection hidden="1"/>
    </xf>
    <xf numFmtId="0" fontId="2" fillId="6" borderId="56" xfId="0" applyFont="1" applyFill="1" applyBorder="1" applyAlignment="1" applyProtection="1">
      <alignment horizontal="center" vertical="center"/>
      <protection hidden="1"/>
    </xf>
    <xf numFmtId="0" fontId="2" fillId="6" borderId="14" xfId="0" applyFont="1" applyFill="1" applyBorder="1" applyAlignment="1" applyProtection="1">
      <alignment horizontal="center" vertical="center"/>
      <protection hidden="1"/>
    </xf>
    <xf numFmtId="0" fontId="2" fillId="6" borderId="57" xfId="0" applyFont="1" applyFill="1" applyBorder="1" applyAlignment="1" applyProtection="1">
      <alignment horizontal="right" vertical="center"/>
      <protection hidden="1"/>
    </xf>
    <xf numFmtId="0" fontId="2" fillId="6" borderId="42" xfId="0" applyFont="1" applyFill="1" applyBorder="1" applyAlignment="1" applyProtection="1">
      <alignment horizontal="right" vertical="center"/>
      <protection hidden="1"/>
    </xf>
    <xf numFmtId="0" fontId="2" fillId="6" borderId="25" xfId="0" applyFont="1" applyFill="1" applyBorder="1" applyAlignment="1" applyProtection="1">
      <alignment horizontal="center" vertical="center"/>
      <protection hidden="1"/>
    </xf>
    <xf numFmtId="0" fontId="2" fillId="6" borderId="28" xfId="0" applyFont="1" applyFill="1" applyBorder="1" applyAlignment="1" applyProtection="1">
      <alignment horizontal="center" vertical="center"/>
      <protection hidden="1"/>
    </xf>
    <xf numFmtId="0" fontId="2" fillId="6" borderId="45" xfId="0" applyFont="1" applyFill="1" applyBorder="1" applyAlignment="1" applyProtection="1">
      <alignment horizontal="center" vertical="center"/>
      <protection hidden="1"/>
    </xf>
    <xf numFmtId="0" fontId="2" fillId="6" borderId="47" xfId="0" applyFont="1" applyFill="1" applyBorder="1" applyAlignment="1" applyProtection="1">
      <alignment horizontal="center" vertical="center"/>
      <protection hidden="1"/>
    </xf>
    <xf numFmtId="0" fontId="2" fillId="6" borderId="9" xfId="0" applyFont="1" applyFill="1" applyBorder="1" applyAlignment="1" applyProtection="1">
      <alignment horizontal="center" vertical="center"/>
      <protection hidden="1"/>
    </xf>
    <xf numFmtId="0" fontId="2" fillId="6" borderId="11"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wrapText="1"/>
      <protection hidden="1"/>
    </xf>
    <xf numFmtId="0" fontId="2" fillId="5" borderId="3"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wrapText="1"/>
      <protection hidden="1"/>
    </xf>
    <xf numFmtId="0" fontId="11" fillId="2" borderId="0" xfId="0" applyFont="1" applyFill="1" applyAlignment="1" applyProtection="1">
      <alignment horizontal="left" vertical="center"/>
      <protection hidden="1"/>
    </xf>
    <xf numFmtId="0" fontId="2" fillId="6" borderId="0" xfId="0" applyFont="1" applyFill="1" applyAlignment="1" applyProtection="1">
      <alignment horizontal="center" vertical="center" wrapText="1"/>
      <protection hidden="1"/>
    </xf>
    <xf numFmtId="49" fontId="1" fillId="6" borderId="16" xfId="0" applyNumberFormat="1" applyFont="1" applyFill="1" applyBorder="1" applyAlignment="1" applyProtection="1">
      <alignment horizontal="center" vertical="center"/>
      <protection hidden="1"/>
    </xf>
    <xf numFmtId="49" fontId="1" fillId="6" borderId="15" xfId="0" applyNumberFormat="1" applyFont="1" applyFill="1" applyBorder="1" applyAlignment="1" applyProtection="1">
      <alignment horizontal="center" vertical="center"/>
      <protection hidden="1"/>
    </xf>
    <xf numFmtId="49" fontId="1" fillId="6" borderId="17" xfId="0" applyNumberFormat="1"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2" fillId="6" borderId="8"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 xfId="0" applyFont="1" applyFill="1" applyBorder="1" applyAlignment="1" applyProtection="1">
      <alignment horizontal="center" vertical="center"/>
      <protection hidden="1"/>
    </xf>
    <xf numFmtId="0" fontId="2" fillId="6" borderId="13" xfId="0" applyFont="1" applyFill="1" applyBorder="1" applyAlignment="1" applyProtection="1">
      <alignment horizontal="center" vertical="center"/>
      <protection hidden="1"/>
    </xf>
    <xf numFmtId="0" fontId="2" fillId="6" borderId="13" xfId="0" applyFont="1" applyFill="1" applyBorder="1" applyAlignment="1" applyProtection="1">
      <alignment horizontal="right" vertical="center"/>
      <protection hidden="1"/>
    </xf>
    <xf numFmtId="0" fontId="2" fillId="6" borderId="14" xfId="0" applyFont="1" applyFill="1" applyBorder="1" applyAlignment="1" applyProtection="1">
      <alignment horizontal="right" vertical="center"/>
      <protection hidden="1"/>
    </xf>
    <xf numFmtId="0" fontId="1" fillId="6" borderId="16" xfId="0" applyFont="1" applyFill="1" applyBorder="1" applyAlignment="1" applyProtection="1">
      <alignment horizontal="center" vertical="center"/>
      <protection hidden="1"/>
    </xf>
    <xf numFmtId="0" fontId="2" fillId="9" borderId="4" xfId="0" applyFont="1" applyFill="1" applyBorder="1" applyAlignment="1" applyProtection="1">
      <alignment horizontal="center" vertical="center"/>
      <protection hidden="1"/>
    </xf>
    <xf numFmtId="0" fontId="2" fillId="9" borderId="8"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protection hidden="1"/>
    </xf>
    <xf numFmtId="0" fontId="2" fillId="9" borderId="3" xfId="0" applyFont="1" applyFill="1" applyBorder="1" applyAlignment="1" applyProtection="1">
      <alignment horizontal="center" vertical="center"/>
      <protection hidden="1"/>
    </xf>
    <xf numFmtId="0" fontId="2" fillId="9" borderId="9" xfId="0" applyFont="1" applyFill="1" applyBorder="1" applyAlignment="1" applyProtection="1">
      <alignment horizontal="center" vertical="center"/>
      <protection hidden="1"/>
    </xf>
    <xf numFmtId="0" fontId="2" fillId="9" borderId="11" xfId="0" applyFont="1" applyFill="1" applyBorder="1" applyAlignment="1" applyProtection="1">
      <alignment horizontal="center" vertical="center"/>
      <protection hidden="1"/>
    </xf>
    <xf numFmtId="0" fontId="1" fillId="5" borderId="4"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wrapText="1"/>
      <protection hidden="1"/>
    </xf>
    <xf numFmtId="0" fontId="1" fillId="5" borderId="12"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0" xfId="0" applyFont="1" applyFill="1" applyAlignment="1" applyProtection="1">
      <alignment horizontal="center" vertical="center" wrapText="1"/>
      <protection hidden="1"/>
    </xf>
    <xf numFmtId="0" fontId="1" fillId="5" borderId="10"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5" borderId="9" xfId="0" applyFont="1" applyFill="1" applyBorder="1" applyAlignment="1" applyProtection="1">
      <alignment horizontal="center" vertical="center" wrapText="1"/>
      <protection hidden="1"/>
    </xf>
    <xf numFmtId="0" fontId="1" fillId="5" borderId="11" xfId="0" applyFont="1" applyFill="1" applyBorder="1" applyAlignment="1" applyProtection="1">
      <alignment horizontal="center" vertical="center" wrapText="1"/>
      <protection hidden="1"/>
    </xf>
    <xf numFmtId="0" fontId="2" fillId="9" borderId="4" xfId="0" applyFont="1" applyFill="1" applyBorder="1" applyAlignment="1" applyProtection="1">
      <alignment horizontal="center" vertical="center" wrapText="1"/>
      <protection hidden="1"/>
    </xf>
    <xf numFmtId="0" fontId="2" fillId="9" borderId="8" xfId="0" applyFont="1" applyFill="1" applyBorder="1" applyAlignment="1" applyProtection="1">
      <alignment horizontal="center" vertical="center" wrapText="1"/>
      <protection hidden="1"/>
    </xf>
    <xf numFmtId="0" fontId="2" fillId="9" borderId="12" xfId="0" applyFont="1" applyFill="1" applyBorder="1" applyAlignment="1" applyProtection="1">
      <alignment horizontal="center" vertical="center" wrapText="1"/>
      <protection hidden="1"/>
    </xf>
    <xf numFmtId="0" fontId="2" fillId="9" borderId="3" xfId="0" applyFont="1" applyFill="1" applyBorder="1" applyAlignment="1" applyProtection="1">
      <alignment horizontal="center" vertical="center" wrapText="1"/>
      <protection hidden="1"/>
    </xf>
    <xf numFmtId="0" fontId="2" fillId="9" borderId="9" xfId="0" applyFont="1" applyFill="1" applyBorder="1" applyAlignment="1" applyProtection="1">
      <alignment horizontal="center" vertical="center" wrapText="1"/>
      <protection hidden="1"/>
    </xf>
    <xf numFmtId="0" fontId="2" fillId="9" borderId="11" xfId="0" applyFont="1" applyFill="1" applyBorder="1" applyAlignment="1" applyProtection="1">
      <alignment horizontal="center" vertical="center" wrapText="1"/>
      <protection hidden="1"/>
    </xf>
    <xf numFmtId="0" fontId="1" fillId="10" borderId="4" xfId="0" applyFont="1" applyFill="1" applyBorder="1" applyAlignment="1" applyProtection="1">
      <alignment horizontal="center" vertical="center" wrapText="1"/>
      <protection hidden="1"/>
    </xf>
    <xf numFmtId="0" fontId="1" fillId="10" borderId="12" xfId="0" applyFont="1" applyFill="1" applyBorder="1" applyAlignment="1" applyProtection="1">
      <alignment horizontal="center" vertical="center" wrapText="1"/>
      <protection hidden="1"/>
    </xf>
    <xf numFmtId="0" fontId="1" fillId="10" borderId="3" xfId="0" applyFont="1" applyFill="1" applyBorder="1" applyAlignment="1" applyProtection="1">
      <alignment horizontal="center" vertical="center" wrapText="1"/>
      <protection hidden="1"/>
    </xf>
    <xf numFmtId="0" fontId="1" fillId="10" borderId="11" xfId="0" applyFont="1" applyFill="1" applyBorder="1" applyAlignment="1" applyProtection="1">
      <alignment horizontal="center" vertical="center" wrapText="1"/>
      <protection hidden="1"/>
    </xf>
    <xf numFmtId="0" fontId="2" fillId="6" borderId="5" xfId="0" applyFont="1" applyFill="1" applyBorder="1" applyAlignment="1" applyProtection="1">
      <alignment horizontal="center" vertical="center"/>
      <protection hidden="1"/>
    </xf>
    <xf numFmtId="0" fontId="2" fillId="6" borderId="0" xfId="0" applyFont="1" applyFill="1" applyAlignment="1" applyProtection="1">
      <alignment horizontal="center" vertical="center"/>
      <protection hidden="1"/>
    </xf>
    <xf numFmtId="0" fontId="2" fillId="6" borderId="5"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protection hidden="1"/>
    </xf>
    <xf numFmtId="0" fontId="1" fillId="6" borderId="5" xfId="0" applyFont="1" applyFill="1" applyBorder="1" applyAlignment="1" applyProtection="1">
      <alignment horizontal="center" vertical="center"/>
      <protection hidden="1"/>
    </xf>
    <xf numFmtId="0" fontId="1" fillId="6" borderId="0" xfId="0" applyFont="1" applyFill="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49" fontId="1" fillId="6" borderId="5" xfId="0" applyNumberFormat="1" applyFont="1" applyFill="1" applyBorder="1" applyAlignment="1" applyProtection="1">
      <alignment horizontal="center" vertical="center"/>
      <protection hidden="1"/>
    </xf>
    <xf numFmtId="49" fontId="1" fillId="6" borderId="0" xfId="0" applyNumberFormat="1" applyFont="1" applyFill="1" applyAlignment="1" applyProtection="1">
      <alignment horizontal="center" vertical="center"/>
      <protection hidden="1"/>
    </xf>
    <xf numFmtId="49" fontId="1" fillId="6" borderId="10" xfId="0" applyNumberFormat="1" applyFont="1" applyFill="1" applyBorder="1" applyAlignment="1" applyProtection="1">
      <alignment horizontal="center" vertical="center"/>
      <protection hidden="1"/>
    </xf>
    <xf numFmtId="0" fontId="1" fillId="6" borderId="5" xfId="0" applyFont="1" applyFill="1" applyBorder="1" applyAlignment="1" applyProtection="1">
      <alignment horizontal="center" vertical="center" wrapText="1"/>
      <protection hidden="1"/>
    </xf>
    <xf numFmtId="0" fontId="1" fillId="6" borderId="0" xfId="0" applyFont="1" applyFill="1" applyAlignment="1" applyProtection="1">
      <alignment horizontal="center" vertical="center" wrapText="1"/>
      <protection hidden="1"/>
    </xf>
  </cellXfs>
  <cellStyles count="3">
    <cellStyle name="Link" xfId="1" builtinId="8"/>
    <cellStyle name="Standard" xfId="0" builtinId="0"/>
    <cellStyle name="Standard 2" xfId="2" xr:uid="{E0605A9B-EC50-4111-B371-658B935A7832}"/>
  </cellStyles>
  <dxfs count="0"/>
  <tableStyles count="0" defaultTableStyle="TableStyleMedium9" defaultPivotStyle="PivotStyleLight16"/>
  <colors>
    <mruColors>
      <color rgb="FFCCFFFF"/>
      <color rgb="FFEAEAEA"/>
      <color rgb="FFFFCCCC"/>
      <color rgb="FFFFFFCC"/>
      <color rgb="FFDDDDDD"/>
      <color rgb="FFCCFFCC"/>
      <color rgb="FFF8F8F8"/>
      <color rgb="FFFFCCFF"/>
      <color rgb="FF66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3.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3" Type="http://schemas.openxmlformats.org/officeDocument/2006/relationships/image" Target="../media/image30.png"/><Relationship Id="rId18" Type="http://schemas.openxmlformats.org/officeDocument/2006/relationships/image" Target="../media/image35.png"/><Relationship Id="rId26" Type="http://schemas.openxmlformats.org/officeDocument/2006/relationships/image" Target="../media/image42.png"/><Relationship Id="rId3" Type="http://schemas.openxmlformats.org/officeDocument/2006/relationships/image" Target="../media/image20.png"/><Relationship Id="rId21" Type="http://schemas.openxmlformats.org/officeDocument/2006/relationships/image" Target="../media/image38.png"/><Relationship Id="rId34" Type="http://schemas.openxmlformats.org/officeDocument/2006/relationships/image" Target="../media/image50.pn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5" Type="http://schemas.openxmlformats.org/officeDocument/2006/relationships/image" Target="../media/image41.png"/><Relationship Id="rId33" Type="http://schemas.openxmlformats.org/officeDocument/2006/relationships/image" Target="../media/image49.png"/><Relationship Id="rId2" Type="http://schemas.openxmlformats.org/officeDocument/2006/relationships/image" Target="../media/image19.png"/><Relationship Id="rId16" Type="http://schemas.openxmlformats.org/officeDocument/2006/relationships/image" Target="../media/image33.png"/><Relationship Id="rId20" Type="http://schemas.openxmlformats.org/officeDocument/2006/relationships/image" Target="../media/image37.png"/><Relationship Id="rId29" Type="http://schemas.openxmlformats.org/officeDocument/2006/relationships/image" Target="../media/image45.png"/><Relationship Id="rId1" Type="http://schemas.openxmlformats.org/officeDocument/2006/relationships/image" Target="../media/image18.png"/><Relationship Id="rId6" Type="http://schemas.openxmlformats.org/officeDocument/2006/relationships/image" Target="../media/image23.png"/><Relationship Id="rId11" Type="http://schemas.openxmlformats.org/officeDocument/2006/relationships/image" Target="../media/image28.png"/><Relationship Id="rId24" Type="http://schemas.openxmlformats.org/officeDocument/2006/relationships/image" Target="../media/image40.png"/><Relationship Id="rId32" Type="http://schemas.openxmlformats.org/officeDocument/2006/relationships/image" Target="../media/image48.png"/><Relationship Id="rId5" Type="http://schemas.openxmlformats.org/officeDocument/2006/relationships/image" Target="../media/image22.png"/><Relationship Id="rId15" Type="http://schemas.openxmlformats.org/officeDocument/2006/relationships/image" Target="../media/image32.png"/><Relationship Id="rId23" Type="http://schemas.openxmlformats.org/officeDocument/2006/relationships/image" Target="../media/image3.png"/><Relationship Id="rId28" Type="http://schemas.openxmlformats.org/officeDocument/2006/relationships/image" Target="../media/image44.png"/><Relationship Id="rId10" Type="http://schemas.openxmlformats.org/officeDocument/2006/relationships/image" Target="../media/image27.png"/><Relationship Id="rId19" Type="http://schemas.openxmlformats.org/officeDocument/2006/relationships/image" Target="../media/image36.png"/><Relationship Id="rId31" Type="http://schemas.openxmlformats.org/officeDocument/2006/relationships/image" Target="../media/image47.pn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 Id="rId22" Type="http://schemas.openxmlformats.org/officeDocument/2006/relationships/image" Target="../media/image39.png"/><Relationship Id="rId27" Type="http://schemas.openxmlformats.org/officeDocument/2006/relationships/image" Target="../media/image43.png"/><Relationship Id="rId30" Type="http://schemas.openxmlformats.org/officeDocument/2006/relationships/image" Target="../media/image46.png"/><Relationship Id="rId35" Type="http://schemas.openxmlformats.org/officeDocument/2006/relationships/image" Target="../media/image51.png"/><Relationship Id="rId8" Type="http://schemas.openxmlformats.org/officeDocument/2006/relationships/image" Target="../media/image25.png"/></Relationships>
</file>

<file path=xl/drawings/_rels/drawing4.xml.rels><?xml version="1.0" encoding="UTF-8" standalone="yes"?>
<Relationships xmlns="http://schemas.openxmlformats.org/package/2006/relationships"><Relationship Id="rId8" Type="http://schemas.openxmlformats.org/officeDocument/2006/relationships/image" Target="../media/image58.png"/><Relationship Id="rId13" Type="http://schemas.openxmlformats.org/officeDocument/2006/relationships/image" Target="../media/image62.png"/><Relationship Id="rId18" Type="http://schemas.openxmlformats.org/officeDocument/2006/relationships/image" Target="../media/image67.png"/><Relationship Id="rId3" Type="http://schemas.openxmlformats.org/officeDocument/2006/relationships/image" Target="../media/image53.png"/><Relationship Id="rId7" Type="http://schemas.openxmlformats.org/officeDocument/2006/relationships/image" Target="../media/image57.png"/><Relationship Id="rId12" Type="http://schemas.openxmlformats.org/officeDocument/2006/relationships/image" Target="../media/image35.png"/><Relationship Id="rId17" Type="http://schemas.openxmlformats.org/officeDocument/2006/relationships/image" Target="../media/image66.jpeg"/><Relationship Id="rId2" Type="http://schemas.openxmlformats.org/officeDocument/2006/relationships/image" Target="../media/image52.png"/><Relationship Id="rId16" Type="http://schemas.openxmlformats.org/officeDocument/2006/relationships/image" Target="../media/image65.png"/><Relationship Id="rId20" Type="http://schemas.openxmlformats.org/officeDocument/2006/relationships/image" Target="../media/image41.png"/><Relationship Id="rId1" Type="http://schemas.openxmlformats.org/officeDocument/2006/relationships/image" Target="../media/image3.png"/><Relationship Id="rId6" Type="http://schemas.openxmlformats.org/officeDocument/2006/relationships/image" Target="../media/image56.png"/><Relationship Id="rId11" Type="http://schemas.openxmlformats.org/officeDocument/2006/relationships/image" Target="../media/image61.png"/><Relationship Id="rId5" Type="http://schemas.openxmlformats.org/officeDocument/2006/relationships/image" Target="../media/image55.png"/><Relationship Id="rId15" Type="http://schemas.openxmlformats.org/officeDocument/2006/relationships/image" Target="../media/image64.png"/><Relationship Id="rId10" Type="http://schemas.openxmlformats.org/officeDocument/2006/relationships/image" Target="../media/image60.png"/><Relationship Id="rId19" Type="http://schemas.openxmlformats.org/officeDocument/2006/relationships/image" Target="../media/image68.png"/><Relationship Id="rId4" Type="http://schemas.openxmlformats.org/officeDocument/2006/relationships/image" Target="../media/image54.png"/><Relationship Id="rId9" Type="http://schemas.openxmlformats.org/officeDocument/2006/relationships/image" Target="../media/image59.png"/><Relationship Id="rId14" Type="http://schemas.openxmlformats.org/officeDocument/2006/relationships/image" Target="../media/image63.png"/></Relationships>
</file>

<file path=xl/drawings/drawing1.xml><?xml version="1.0" encoding="utf-8"?>
<xdr:wsDr xmlns:xdr="http://schemas.openxmlformats.org/drawingml/2006/spreadsheetDrawing" xmlns:a="http://schemas.openxmlformats.org/drawingml/2006/main">
  <xdr:twoCellAnchor editAs="oneCell">
    <xdr:from>
      <xdr:col>2</xdr:col>
      <xdr:colOff>714390</xdr:colOff>
      <xdr:row>35</xdr:row>
      <xdr:rowOff>38090</xdr:rowOff>
    </xdr:from>
    <xdr:to>
      <xdr:col>3</xdr:col>
      <xdr:colOff>476269</xdr:colOff>
      <xdr:row>39</xdr:row>
      <xdr:rowOff>76194</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9283032">
          <a:off x="1566878" y="4705340"/>
          <a:ext cx="552454" cy="571504"/>
        </a:xfrm>
        <a:prstGeom prst="rect">
          <a:avLst/>
        </a:prstGeom>
      </xdr:spPr>
    </xdr:pic>
    <xdr:clientData/>
  </xdr:twoCellAnchor>
  <xdr:twoCellAnchor editAs="oneCell">
    <xdr:from>
      <xdr:col>13</xdr:col>
      <xdr:colOff>176899</xdr:colOff>
      <xdr:row>1</xdr:row>
      <xdr:rowOff>32651</xdr:rowOff>
    </xdr:from>
    <xdr:to>
      <xdr:col>20</xdr:col>
      <xdr:colOff>616109</xdr:colOff>
      <xdr:row>19</xdr:row>
      <xdr:rowOff>0</xdr:rowOff>
    </xdr:to>
    <xdr:pic>
      <xdr:nvPicPr>
        <xdr:cNvPr id="47" name="Grafik 46">
          <a:extLst>
            <a:ext uri="{FF2B5EF4-FFF2-40B4-BE49-F238E27FC236}">
              <a16:creationId xmlns:a16="http://schemas.microsoft.com/office/drawing/2014/main" id="{C6E348E1-9FA8-4BB2-8143-4EFC054D54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68174" y="166001"/>
          <a:ext cx="5368398" cy="2367649"/>
        </a:xfrm>
        <a:prstGeom prst="rect">
          <a:avLst/>
        </a:prstGeom>
      </xdr:spPr>
    </xdr:pic>
    <xdr:clientData/>
  </xdr:twoCellAnchor>
  <xdr:twoCellAnchor editAs="oneCell">
    <xdr:from>
      <xdr:col>2</xdr:col>
      <xdr:colOff>690531</xdr:colOff>
      <xdr:row>44</xdr:row>
      <xdr:rowOff>33369</xdr:rowOff>
    </xdr:from>
    <xdr:to>
      <xdr:col>4</xdr:col>
      <xdr:colOff>209559</xdr:colOff>
      <xdr:row>52</xdr:row>
      <xdr:rowOff>107121</xdr:rowOff>
    </xdr:to>
    <xdr:pic>
      <xdr:nvPicPr>
        <xdr:cNvPr id="68" name="Grafik 67">
          <a:extLst>
            <a:ext uri="{FF2B5EF4-FFF2-40B4-BE49-F238E27FC236}">
              <a16:creationId xmlns:a16="http://schemas.microsoft.com/office/drawing/2014/main" id="{E97CC235-2888-4C0F-80E0-8E5A7C0069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3019" y="5900769"/>
          <a:ext cx="1100178" cy="1140552"/>
        </a:xfrm>
        <a:prstGeom prst="rect">
          <a:avLst/>
        </a:prstGeom>
      </xdr:spPr>
    </xdr:pic>
    <xdr:clientData/>
  </xdr:twoCellAnchor>
  <xdr:twoCellAnchor>
    <xdr:from>
      <xdr:col>12</xdr:col>
      <xdr:colOff>7828</xdr:colOff>
      <xdr:row>33</xdr:row>
      <xdr:rowOff>68043</xdr:rowOff>
    </xdr:from>
    <xdr:to>
      <xdr:col>12</xdr:col>
      <xdr:colOff>53547</xdr:colOff>
      <xdr:row>40</xdr:row>
      <xdr:rowOff>77562</xdr:rowOff>
    </xdr:to>
    <xdr:sp macro="" textlink="">
      <xdr:nvSpPr>
        <xdr:cNvPr id="10" name="Eckige Klammer rechts 9">
          <a:extLst>
            <a:ext uri="{FF2B5EF4-FFF2-40B4-BE49-F238E27FC236}">
              <a16:creationId xmlns:a16="http://schemas.microsoft.com/office/drawing/2014/main" id="{B7D8B336-5258-4EAD-A296-88CEC2B313B5}"/>
            </a:ext>
          </a:extLst>
        </xdr:cNvPr>
        <xdr:cNvSpPr/>
      </xdr:nvSpPr>
      <xdr:spPr bwMode="auto">
        <a:xfrm>
          <a:off x="6332428" y="4468593"/>
          <a:ext cx="45719" cy="942969"/>
        </a:xfrm>
        <a:prstGeom prst="rightBracke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2</xdr:col>
      <xdr:colOff>714390</xdr:colOff>
      <xdr:row>30</xdr:row>
      <xdr:rowOff>38072</xdr:rowOff>
    </xdr:from>
    <xdr:to>
      <xdr:col>3</xdr:col>
      <xdr:colOff>476269</xdr:colOff>
      <xdr:row>34</xdr:row>
      <xdr:rowOff>76176</xdr:rowOff>
    </xdr:to>
    <xdr:pic>
      <xdr:nvPicPr>
        <xdr:cNvPr id="2" name="Grafik 1">
          <a:extLst>
            <a:ext uri="{FF2B5EF4-FFF2-40B4-BE49-F238E27FC236}">
              <a16:creationId xmlns:a16="http://schemas.microsoft.com/office/drawing/2014/main" id="{962C7D22-E8E3-4709-9606-66C67064E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9283032">
          <a:off x="1566878" y="3905222"/>
          <a:ext cx="552454" cy="571504"/>
        </a:xfrm>
        <a:prstGeom prst="rect">
          <a:avLst/>
        </a:prstGeom>
      </xdr:spPr>
    </xdr:pic>
    <xdr:clientData/>
  </xdr:twoCellAnchor>
  <xdr:twoCellAnchor>
    <xdr:from>
      <xdr:col>11</xdr:col>
      <xdr:colOff>358393</xdr:colOff>
      <xdr:row>20</xdr:row>
      <xdr:rowOff>38092</xdr:rowOff>
    </xdr:from>
    <xdr:to>
      <xdr:col>12</xdr:col>
      <xdr:colOff>59542</xdr:colOff>
      <xdr:row>20</xdr:row>
      <xdr:rowOff>119054</xdr:rowOff>
    </xdr:to>
    <xdr:sp macro="" textlink="">
      <xdr:nvSpPr>
        <xdr:cNvPr id="3" name="Gleichschenkliges Dreieck 2">
          <a:extLst>
            <a:ext uri="{FF2B5EF4-FFF2-40B4-BE49-F238E27FC236}">
              <a16:creationId xmlns:a16="http://schemas.microsoft.com/office/drawing/2014/main" id="{22BB2F93-B418-DEB2-AC64-BE245BB544BD}"/>
            </a:ext>
          </a:extLst>
        </xdr:cNvPr>
        <xdr:cNvSpPr/>
      </xdr:nvSpPr>
      <xdr:spPr bwMode="auto">
        <a:xfrm rot="16200000">
          <a:off x="6271631" y="2673542"/>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14</xdr:col>
      <xdr:colOff>200047</xdr:colOff>
      <xdr:row>21</xdr:row>
      <xdr:rowOff>33330</xdr:rowOff>
    </xdr:from>
    <xdr:to>
      <xdr:col>21</xdr:col>
      <xdr:colOff>630237</xdr:colOff>
      <xdr:row>89</xdr:row>
      <xdr:rowOff>104780</xdr:rowOff>
    </xdr:to>
    <xdr:pic>
      <xdr:nvPicPr>
        <xdr:cNvPr id="4" name="Grafik 3">
          <a:extLst>
            <a:ext uri="{FF2B5EF4-FFF2-40B4-BE49-F238E27FC236}">
              <a16:creationId xmlns:a16="http://schemas.microsoft.com/office/drawing/2014/main" id="{024693EB-9F3E-6E73-6D5B-0C1760D81C43}"/>
            </a:ext>
          </a:extLst>
        </xdr:cNvPr>
        <xdr:cNvPicPr>
          <a:picLocks noChangeAspect="1"/>
        </xdr:cNvPicPr>
      </xdr:nvPicPr>
      <xdr:blipFill>
        <a:blip xmlns:r="http://schemas.openxmlformats.org/officeDocument/2006/relationships" r:embed="rId4"/>
        <a:stretch>
          <a:fillRect/>
        </a:stretch>
      </xdr:blipFill>
      <xdr:spPr>
        <a:xfrm>
          <a:off x="6777060" y="2833680"/>
          <a:ext cx="5964215" cy="9139250"/>
        </a:xfrm>
        <a:prstGeom prst="rect">
          <a:avLst/>
        </a:prstGeom>
      </xdr:spPr>
    </xdr:pic>
    <xdr:clientData/>
  </xdr:twoCellAnchor>
  <xdr:twoCellAnchor>
    <xdr:from>
      <xdr:col>13</xdr:col>
      <xdr:colOff>38095</xdr:colOff>
      <xdr:row>20</xdr:row>
      <xdr:rowOff>38104</xdr:rowOff>
    </xdr:from>
    <xdr:to>
      <xdr:col>13</xdr:col>
      <xdr:colOff>182156</xdr:colOff>
      <xdr:row>20</xdr:row>
      <xdr:rowOff>119066</xdr:rowOff>
    </xdr:to>
    <xdr:sp macro="" textlink="">
      <xdr:nvSpPr>
        <xdr:cNvPr id="5" name="Gleichschenkliges Dreieck 4">
          <a:extLst>
            <a:ext uri="{FF2B5EF4-FFF2-40B4-BE49-F238E27FC236}">
              <a16:creationId xmlns:a16="http://schemas.microsoft.com/office/drawing/2014/main" id="{26B65A2C-1743-442B-B107-F20994CA274C}"/>
            </a:ext>
          </a:extLst>
        </xdr:cNvPr>
        <xdr:cNvSpPr/>
      </xdr:nvSpPr>
      <xdr:spPr bwMode="auto">
        <a:xfrm rot="5400000">
          <a:off x="6460920" y="2673554"/>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xdr:from>
      <xdr:col>11</xdr:col>
      <xdr:colOff>358393</xdr:colOff>
      <xdr:row>1</xdr:row>
      <xdr:rowOff>95216</xdr:rowOff>
    </xdr:from>
    <xdr:to>
      <xdr:col>12</xdr:col>
      <xdr:colOff>59542</xdr:colOff>
      <xdr:row>2</xdr:row>
      <xdr:rowOff>42828</xdr:rowOff>
    </xdr:to>
    <xdr:sp macro="" textlink="">
      <xdr:nvSpPr>
        <xdr:cNvPr id="7" name="Gleichschenkliges Dreieck 6">
          <a:extLst>
            <a:ext uri="{FF2B5EF4-FFF2-40B4-BE49-F238E27FC236}">
              <a16:creationId xmlns:a16="http://schemas.microsoft.com/office/drawing/2014/main" id="{56316E28-4FC0-4F0B-ABF9-01C45CB5F398}"/>
            </a:ext>
          </a:extLst>
        </xdr:cNvPr>
        <xdr:cNvSpPr/>
      </xdr:nvSpPr>
      <xdr:spPr bwMode="auto">
        <a:xfrm rot="16200000">
          <a:off x="6271631" y="197016"/>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xdr:from>
      <xdr:col>13</xdr:col>
      <xdr:colOff>38095</xdr:colOff>
      <xdr:row>1</xdr:row>
      <xdr:rowOff>95241</xdr:rowOff>
    </xdr:from>
    <xdr:to>
      <xdr:col>13</xdr:col>
      <xdr:colOff>182156</xdr:colOff>
      <xdr:row>2</xdr:row>
      <xdr:rowOff>42853</xdr:rowOff>
    </xdr:to>
    <xdr:sp macro="" textlink="">
      <xdr:nvSpPr>
        <xdr:cNvPr id="8" name="Gleichschenkliges Dreieck 7">
          <a:extLst>
            <a:ext uri="{FF2B5EF4-FFF2-40B4-BE49-F238E27FC236}">
              <a16:creationId xmlns:a16="http://schemas.microsoft.com/office/drawing/2014/main" id="{46ED8DD6-A06C-443B-A143-D5DCAF3003AB}"/>
            </a:ext>
          </a:extLst>
        </xdr:cNvPr>
        <xdr:cNvSpPr/>
      </xdr:nvSpPr>
      <xdr:spPr bwMode="auto">
        <a:xfrm rot="5400000">
          <a:off x="6460920" y="197041"/>
          <a:ext cx="80962" cy="144061"/>
        </a:xfrm>
        <a:prstGeom prst="triangle">
          <a:avLst/>
        </a:prstGeom>
        <a:solidFill>
          <a:srgbClr val="FF0000"/>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320736</xdr:colOff>
      <xdr:row>62</xdr:row>
      <xdr:rowOff>38104</xdr:rowOff>
    </xdr:from>
    <xdr:to>
      <xdr:col>7</xdr:col>
      <xdr:colOff>532329</xdr:colOff>
      <xdr:row>70</xdr:row>
      <xdr:rowOff>104780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5765" y="8137075"/>
          <a:ext cx="1125993" cy="1111705"/>
        </a:xfrm>
        <a:prstGeom prst="rect">
          <a:avLst/>
        </a:prstGeom>
      </xdr:spPr>
    </xdr:pic>
    <xdr:clientData/>
  </xdr:twoCellAnchor>
  <xdr:twoCellAnchor editAs="oneCell">
    <xdr:from>
      <xdr:col>2</xdr:col>
      <xdr:colOff>1641729</xdr:colOff>
      <xdr:row>50</xdr:row>
      <xdr:rowOff>80962</xdr:rowOff>
    </xdr:from>
    <xdr:to>
      <xdr:col>2</xdr:col>
      <xdr:colOff>2199514</xdr:colOff>
      <xdr:row>54</xdr:row>
      <xdr:rowOff>96204</xdr:rowOff>
    </xdr:to>
    <xdr:pic>
      <xdr:nvPicPr>
        <xdr:cNvPr id="3" name="Grafik 2">
          <a:extLst>
            <a:ext uri="{FF2B5EF4-FFF2-40B4-BE49-F238E27FC236}">
              <a16:creationId xmlns:a16="http://schemas.microsoft.com/office/drawing/2014/main" id="{CC7DF892-96BB-4FC6-BECA-5C0BA2D96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6643" y="5828619"/>
          <a:ext cx="557785" cy="537756"/>
        </a:xfrm>
        <a:prstGeom prst="rect">
          <a:avLst/>
        </a:prstGeom>
      </xdr:spPr>
    </xdr:pic>
    <xdr:clientData/>
  </xdr:twoCellAnchor>
  <xdr:twoCellAnchor editAs="oneCell">
    <xdr:from>
      <xdr:col>2</xdr:col>
      <xdr:colOff>122475</xdr:colOff>
      <xdr:row>50</xdr:row>
      <xdr:rowOff>71431</xdr:rowOff>
    </xdr:from>
    <xdr:to>
      <xdr:col>2</xdr:col>
      <xdr:colOff>680260</xdr:colOff>
      <xdr:row>54</xdr:row>
      <xdr:rowOff>86673</xdr:rowOff>
    </xdr:to>
    <xdr:pic>
      <xdr:nvPicPr>
        <xdr:cNvPr id="6" name="Grafik 5">
          <a:extLst>
            <a:ext uri="{FF2B5EF4-FFF2-40B4-BE49-F238E27FC236}">
              <a16:creationId xmlns:a16="http://schemas.microsoft.com/office/drawing/2014/main" id="{9DFBF122-5A55-4CE1-97D4-1090E6B34D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7389" y="5688460"/>
          <a:ext cx="557785" cy="537756"/>
        </a:xfrm>
        <a:prstGeom prst="rect">
          <a:avLst/>
        </a:prstGeom>
      </xdr:spPr>
    </xdr:pic>
    <xdr:clientData/>
  </xdr:twoCellAnchor>
  <xdr:twoCellAnchor editAs="oneCell">
    <xdr:from>
      <xdr:col>2</xdr:col>
      <xdr:colOff>129278</xdr:colOff>
      <xdr:row>56</xdr:row>
      <xdr:rowOff>71414</xdr:rowOff>
    </xdr:from>
    <xdr:to>
      <xdr:col>2</xdr:col>
      <xdr:colOff>680967</xdr:colOff>
      <xdr:row>62</xdr:row>
      <xdr:rowOff>36365</xdr:rowOff>
    </xdr:to>
    <xdr:pic>
      <xdr:nvPicPr>
        <xdr:cNvPr id="8" name="Grafik 7">
          <a:extLst>
            <a:ext uri="{FF2B5EF4-FFF2-40B4-BE49-F238E27FC236}">
              <a16:creationId xmlns:a16="http://schemas.microsoft.com/office/drawing/2014/main" id="{C871C90A-C04D-4DF9-A2D7-252CF0B84F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4192" y="6602843"/>
          <a:ext cx="551689" cy="748722"/>
        </a:xfrm>
        <a:prstGeom prst="rect">
          <a:avLst/>
        </a:prstGeom>
      </xdr:spPr>
    </xdr:pic>
    <xdr:clientData/>
  </xdr:twoCellAnchor>
  <xdr:twoCellAnchor editAs="oneCell">
    <xdr:from>
      <xdr:col>2</xdr:col>
      <xdr:colOff>1652614</xdr:colOff>
      <xdr:row>56</xdr:row>
      <xdr:rowOff>66666</xdr:rowOff>
    </xdr:from>
    <xdr:to>
      <xdr:col>2</xdr:col>
      <xdr:colOff>2198207</xdr:colOff>
      <xdr:row>62</xdr:row>
      <xdr:rowOff>31617</xdr:rowOff>
    </xdr:to>
    <xdr:pic>
      <xdr:nvPicPr>
        <xdr:cNvPr id="11" name="Grafik 10">
          <a:extLst>
            <a:ext uri="{FF2B5EF4-FFF2-40B4-BE49-F238E27FC236}">
              <a16:creationId xmlns:a16="http://schemas.microsoft.com/office/drawing/2014/main" id="{AC40BE65-822C-4A91-BF21-660ABA70EA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27528" y="6598095"/>
          <a:ext cx="545593" cy="748722"/>
        </a:xfrm>
        <a:prstGeom prst="rect">
          <a:avLst/>
        </a:prstGeom>
      </xdr:spPr>
    </xdr:pic>
    <xdr:clientData/>
  </xdr:twoCellAnchor>
  <xdr:twoCellAnchor editAs="oneCell">
    <xdr:from>
      <xdr:col>2</xdr:col>
      <xdr:colOff>118394</xdr:colOff>
      <xdr:row>64</xdr:row>
      <xdr:rowOff>70062</xdr:rowOff>
    </xdr:from>
    <xdr:to>
      <xdr:col>2</xdr:col>
      <xdr:colOff>1346740</xdr:colOff>
      <xdr:row>71</xdr:row>
      <xdr:rowOff>26630</xdr:rowOff>
    </xdr:to>
    <xdr:pic>
      <xdr:nvPicPr>
        <xdr:cNvPr id="13" name="Grafik 12">
          <a:extLst>
            <a:ext uri="{FF2B5EF4-FFF2-40B4-BE49-F238E27FC236}">
              <a16:creationId xmlns:a16="http://schemas.microsoft.com/office/drawing/2014/main" id="{D36D0B7D-E404-4F44-B6D9-9D516FBC24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93308" y="7646519"/>
          <a:ext cx="1228346" cy="870968"/>
        </a:xfrm>
        <a:prstGeom prst="rect">
          <a:avLst/>
        </a:prstGeom>
      </xdr:spPr>
    </xdr:pic>
    <xdr:clientData/>
  </xdr:twoCellAnchor>
  <xdr:twoCellAnchor editAs="oneCell">
    <xdr:from>
      <xdr:col>2</xdr:col>
      <xdr:colOff>1632891</xdr:colOff>
      <xdr:row>64</xdr:row>
      <xdr:rowOff>70741</xdr:rowOff>
    </xdr:from>
    <xdr:to>
      <xdr:col>2</xdr:col>
      <xdr:colOff>2858189</xdr:colOff>
      <xdr:row>71</xdr:row>
      <xdr:rowOff>45597</xdr:rowOff>
    </xdr:to>
    <xdr:pic>
      <xdr:nvPicPr>
        <xdr:cNvPr id="14" name="Grafik 13">
          <a:extLst>
            <a:ext uri="{FF2B5EF4-FFF2-40B4-BE49-F238E27FC236}">
              <a16:creationId xmlns:a16="http://schemas.microsoft.com/office/drawing/2014/main" id="{D04D9A48-F340-4664-ACBF-02199EAF7F1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07805" y="7647198"/>
          <a:ext cx="1225298" cy="889256"/>
        </a:xfrm>
        <a:prstGeom prst="rect">
          <a:avLst/>
        </a:prstGeom>
      </xdr:spPr>
    </xdr:pic>
    <xdr:clientData/>
  </xdr:twoCellAnchor>
  <xdr:oneCellAnchor>
    <xdr:from>
      <xdr:col>10</xdr:col>
      <xdr:colOff>152408</xdr:colOff>
      <xdr:row>25</xdr:row>
      <xdr:rowOff>0</xdr:rowOff>
    </xdr:from>
    <xdr:ext cx="18013657" cy="7668986"/>
    <xdr:pic>
      <xdr:nvPicPr>
        <xdr:cNvPr id="30" name="Grafik 29">
          <a:extLst>
            <a:ext uri="{FF2B5EF4-FFF2-40B4-BE49-F238E27FC236}">
              <a16:creationId xmlns:a16="http://schemas.microsoft.com/office/drawing/2014/main" id="{8D3603F0-7312-436F-8347-99ABB0D29D4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580422" y="3265714"/>
          <a:ext cx="18013657" cy="76689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146956</xdr:colOff>
      <xdr:row>9</xdr:row>
      <xdr:rowOff>65997</xdr:rowOff>
    </xdr:from>
    <xdr:to>
      <xdr:col>17</xdr:col>
      <xdr:colOff>676952</xdr:colOff>
      <xdr:row>22</xdr:row>
      <xdr:rowOff>60784</xdr:rowOff>
    </xdr:to>
    <xdr:pic>
      <xdr:nvPicPr>
        <xdr:cNvPr id="32" name="Grafik 31">
          <a:extLst>
            <a:ext uri="{FF2B5EF4-FFF2-40B4-BE49-F238E27FC236}">
              <a16:creationId xmlns:a16="http://schemas.microsoft.com/office/drawing/2014/main" id="{D28A9FDC-EC6F-40FE-BD25-BEE1A11871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857013" y="1241654"/>
          <a:ext cx="2141082" cy="1692959"/>
        </a:xfrm>
        <a:prstGeom prst="rect">
          <a:avLst/>
        </a:prstGeom>
      </xdr:spPr>
    </xdr:pic>
    <xdr:clientData/>
  </xdr:twoCellAnchor>
  <xdr:twoCellAnchor editAs="oneCell">
    <xdr:from>
      <xdr:col>35</xdr:col>
      <xdr:colOff>459606</xdr:colOff>
      <xdr:row>25</xdr:row>
      <xdr:rowOff>0</xdr:rowOff>
    </xdr:from>
    <xdr:to>
      <xdr:col>41</xdr:col>
      <xdr:colOff>769543</xdr:colOff>
      <xdr:row>83</xdr:row>
      <xdr:rowOff>116838</xdr:rowOff>
    </xdr:to>
    <xdr:pic>
      <xdr:nvPicPr>
        <xdr:cNvPr id="2" name="Grafik 1">
          <a:extLst>
            <a:ext uri="{FF2B5EF4-FFF2-40B4-BE49-F238E27FC236}">
              <a16:creationId xmlns:a16="http://schemas.microsoft.com/office/drawing/2014/main" id="{AB60B1BB-D62B-75AA-6892-60C774573AF6}"/>
            </a:ext>
          </a:extLst>
        </xdr:cNvPr>
        <xdr:cNvPicPr>
          <a:picLocks noChangeAspect="1"/>
        </xdr:cNvPicPr>
      </xdr:nvPicPr>
      <xdr:blipFill>
        <a:blip xmlns:r="http://schemas.openxmlformats.org/officeDocument/2006/relationships" r:embed="rId10"/>
        <a:stretch>
          <a:fillRect/>
        </a:stretch>
      </xdr:blipFill>
      <xdr:spPr>
        <a:xfrm>
          <a:off x="24764987" y="4656667"/>
          <a:ext cx="5135937" cy="7833600"/>
        </a:xfrm>
        <a:prstGeom prst="rect">
          <a:avLst/>
        </a:prstGeom>
      </xdr:spPr>
    </xdr:pic>
    <xdr:clientData/>
  </xdr:twoCellAnchor>
  <xdr:twoCellAnchor editAs="oneCell">
    <xdr:from>
      <xdr:col>42</xdr:col>
      <xdr:colOff>96768</xdr:colOff>
      <xdr:row>25</xdr:row>
      <xdr:rowOff>0</xdr:rowOff>
    </xdr:from>
    <xdr:to>
      <xdr:col>48</xdr:col>
      <xdr:colOff>407911</xdr:colOff>
      <xdr:row>83</xdr:row>
      <xdr:rowOff>113238</xdr:rowOff>
    </xdr:to>
    <xdr:pic>
      <xdr:nvPicPr>
        <xdr:cNvPr id="4" name="Grafik 3">
          <a:extLst>
            <a:ext uri="{FF2B5EF4-FFF2-40B4-BE49-F238E27FC236}">
              <a16:creationId xmlns:a16="http://schemas.microsoft.com/office/drawing/2014/main" id="{4F4084D1-AE3B-47C7-7067-8D129063A194}"/>
            </a:ext>
          </a:extLst>
        </xdr:cNvPr>
        <xdr:cNvPicPr>
          <a:picLocks noChangeAspect="1"/>
        </xdr:cNvPicPr>
      </xdr:nvPicPr>
      <xdr:blipFill>
        <a:blip xmlns:r="http://schemas.openxmlformats.org/officeDocument/2006/relationships" r:embed="rId11"/>
        <a:stretch>
          <a:fillRect/>
        </a:stretch>
      </xdr:blipFill>
      <xdr:spPr>
        <a:xfrm>
          <a:off x="30032482" y="4656667"/>
          <a:ext cx="5137143" cy="7830000"/>
        </a:xfrm>
        <a:prstGeom prst="rect">
          <a:avLst/>
        </a:prstGeom>
      </xdr:spPr>
    </xdr:pic>
    <xdr:clientData/>
  </xdr:twoCellAnchor>
  <xdr:twoCellAnchor editAs="oneCell">
    <xdr:from>
      <xdr:col>48</xdr:col>
      <xdr:colOff>544278</xdr:colOff>
      <xdr:row>25</xdr:row>
      <xdr:rowOff>0</xdr:rowOff>
    </xdr:from>
    <xdr:to>
      <xdr:col>55</xdr:col>
      <xdr:colOff>28577</xdr:colOff>
      <xdr:row>83</xdr:row>
      <xdr:rowOff>113238</xdr:rowOff>
    </xdr:to>
    <xdr:pic>
      <xdr:nvPicPr>
        <xdr:cNvPr id="17" name="Grafik 16">
          <a:extLst>
            <a:ext uri="{FF2B5EF4-FFF2-40B4-BE49-F238E27FC236}">
              <a16:creationId xmlns:a16="http://schemas.microsoft.com/office/drawing/2014/main" id="{448494D2-CA37-4FF1-BA0B-F8BA0899C7AE}"/>
            </a:ext>
          </a:extLst>
        </xdr:cNvPr>
        <xdr:cNvPicPr>
          <a:picLocks noChangeAspect="1"/>
        </xdr:cNvPicPr>
      </xdr:nvPicPr>
      <xdr:blipFill>
        <a:blip xmlns:r="http://schemas.openxmlformats.org/officeDocument/2006/relationships" r:embed="rId12"/>
        <a:stretch>
          <a:fillRect/>
        </a:stretch>
      </xdr:blipFill>
      <xdr:spPr>
        <a:xfrm>
          <a:off x="35305992" y="4656667"/>
          <a:ext cx="5114633" cy="7830000"/>
        </a:xfrm>
        <a:prstGeom prst="rect">
          <a:avLst/>
        </a:prstGeom>
      </xdr:spPr>
    </xdr:pic>
    <xdr:clientData/>
  </xdr:twoCellAnchor>
  <xdr:twoCellAnchor editAs="oneCell">
    <xdr:from>
      <xdr:col>55</xdr:col>
      <xdr:colOff>169345</xdr:colOff>
      <xdr:row>25</xdr:row>
      <xdr:rowOff>0</xdr:rowOff>
    </xdr:from>
    <xdr:to>
      <xdr:col>61</xdr:col>
      <xdr:colOff>468342</xdr:colOff>
      <xdr:row>83</xdr:row>
      <xdr:rowOff>113238</xdr:rowOff>
    </xdr:to>
    <xdr:pic>
      <xdr:nvPicPr>
        <xdr:cNvPr id="18" name="Grafik 17">
          <a:extLst>
            <a:ext uri="{FF2B5EF4-FFF2-40B4-BE49-F238E27FC236}">
              <a16:creationId xmlns:a16="http://schemas.microsoft.com/office/drawing/2014/main" id="{A9C5EFE1-48F6-C5BB-9D35-08D676664112}"/>
            </a:ext>
          </a:extLst>
        </xdr:cNvPr>
        <xdr:cNvPicPr>
          <a:picLocks noChangeAspect="1"/>
        </xdr:cNvPicPr>
      </xdr:nvPicPr>
      <xdr:blipFill>
        <a:blip xmlns:r="http://schemas.openxmlformats.org/officeDocument/2006/relationships" r:embed="rId13"/>
        <a:stretch>
          <a:fillRect/>
        </a:stretch>
      </xdr:blipFill>
      <xdr:spPr>
        <a:xfrm>
          <a:off x="40561393" y="4656667"/>
          <a:ext cx="5124997" cy="7830000"/>
        </a:xfrm>
        <a:prstGeom prst="rect">
          <a:avLst/>
        </a:prstGeom>
      </xdr:spPr>
    </xdr:pic>
    <xdr:clientData/>
  </xdr:twoCellAnchor>
  <xdr:twoCellAnchor editAs="oneCell">
    <xdr:from>
      <xdr:col>61</xdr:col>
      <xdr:colOff>622897</xdr:colOff>
      <xdr:row>25</xdr:row>
      <xdr:rowOff>0</xdr:rowOff>
    </xdr:from>
    <xdr:to>
      <xdr:col>68</xdr:col>
      <xdr:colOff>106034</xdr:colOff>
      <xdr:row>83</xdr:row>
      <xdr:rowOff>113238</xdr:rowOff>
    </xdr:to>
    <xdr:pic>
      <xdr:nvPicPr>
        <xdr:cNvPr id="23" name="Grafik 22">
          <a:extLst>
            <a:ext uri="{FF2B5EF4-FFF2-40B4-BE49-F238E27FC236}">
              <a16:creationId xmlns:a16="http://schemas.microsoft.com/office/drawing/2014/main" id="{EAD950BB-5A17-6F33-2AB3-90BB889D2223}"/>
            </a:ext>
          </a:extLst>
        </xdr:cNvPr>
        <xdr:cNvPicPr>
          <a:picLocks noChangeAspect="1"/>
        </xdr:cNvPicPr>
      </xdr:nvPicPr>
      <xdr:blipFill>
        <a:blip xmlns:r="http://schemas.openxmlformats.org/officeDocument/2006/relationships" r:embed="rId14"/>
        <a:stretch>
          <a:fillRect/>
        </a:stretch>
      </xdr:blipFill>
      <xdr:spPr>
        <a:xfrm>
          <a:off x="45840945" y="4656667"/>
          <a:ext cx="5113470" cy="783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28575</xdr:colOff>
      <xdr:row>21</xdr:row>
      <xdr:rowOff>28575</xdr:rowOff>
    </xdr:from>
    <xdr:to>
      <xdr:col>15</xdr:col>
      <xdr:colOff>166576</xdr:colOff>
      <xdr:row>25</xdr:row>
      <xdr:rowOff>73273</xdr:rowOff>
    </xdr:to>
    <xdr:pic>
      <xdr:nvPicPr>
        <xdr:cNvPr id="2" name="Grafik 1">
          <a:extLst>
            <a:ext uri="{FF2B5EF4-FFF2-40B4-BE49-F238E27FC236}">
              <a16:creationId xmlns:a16="http://schemas.microsoft.com/office/drawing/2014/main" id="{89552250-F47A-48EF-96CC-15EFF204291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24938" y="28651200"/>
          <a:ext cx="952388" cy="55904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27</xdr:row>
      <xdr:rowOff>28575</xdr:rowOff>
    </xdr:from>
    <xdr:to>
      <xdr:col>14</xdr:col>
      <xdr:colOff>748575</xdr:colOff>
      <xdr:row>34</xdr:row>
      <xdr:rowOff>61800</xdr:rowOff>
    </xdr:to>
    <xdr:pic>
      <xdr:nvPicPr>
        <xdr:cNvPr id="3" name="Grafik 2">
          <a:extLst>
            <a:ext uri="{FF2B5EF4-FFF2-40B4-BE49-F238E27FC236}">
              <a16:creationId xmlns:a16="http://schemas.microsoft.com/office/drawing/2014/main" id="{FF154666-D4EE-4F08-8044-EDAE531FD62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24938" y="29422725"/>
          <a:ext cx="720000" cy="933337"/>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36</xdr:row>
      <xdr:rowOff>28575</xdr:rowOff>
    </xdr:from>
    <xdr:to>
      <xdr:col>15</xdr:col>
      <xdr:colOff>526576</xdr:colOff>
      <xdr:row>43</xdr:row>
      <xdr:rowOff>61801</xdr:rowOff>
    </xdr:to>
    <xdr:pic>
      <xdr:nvPicPr>
        <xdr:cNvPr id="4" name="Grafik 3">
          <a:extLst>
            <a:ext uri="{FF2B5EF4-FFF2-40B4-BE49-F238E27FC236}">
              <a16:creationId xmlns:a16="http://schemas.microsoft.com/office/drawing/2014/main" id="{DD74F76F-C8B7-42F8-9E18-022533EE7419}"/>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24938" y="30580013"/>
          <a:ext cx="1312388" cy="93333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21</xdr:row>
      <xdr:rowOff>28575</xdr:rowOff>
    </xdr:from>
    <xdr:to>
      <xdr:col>17</xdr:col>
      <xdr:colOff>166576</xdr:colOff>
      <xdr:row>25</xdr:row>
      <xdr:rowOff>73273</xdr:rowOff>
    </xdr:to>
    <xdr:pic>
      <xdr:nvPicPr>
        <xdr:cNvPr id="5" name="Grafik 4">
          <a:extLst>
            <a:ext uri="{FF2B5EF4-FFF2-40B4-BE49-F238E27FC236}">
              <a16:creationId xmlns:a16="http://schemas.microsoft.com/office/drawing/2014/main" id="{DC2B514C-9489-42A9-A876-38F624FE5CB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53713" y="28651200"/>
          <a:ext cx="952388" cy="559048"/>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27</xdr:row>
      <xdr:rowOff>28575</xdr:rowOff>
    </xdr:from>
    <xdr:to>
      <xdr:col>16</xdr:col>
      <xdr:colOff>748575</xdr:colOff>
      <xdr:row>34</xdr:row>
      <xdr:rowOff>61800</xdr:rowOff>
    </xdr:to>
    <xdr:pic>
      <xdr:nvPicPr>
        <xdr:cNvPr id="6" name="Grafik 5">
          <a:extLst>
            <a:ext uri="{FF2B5EF4-FFF2-40B4-BE49-F238E27FC236}">
              <a16:creationId xmlns:a16="http://schemas.microsoft.com/office/drawing/2014/main" id="{66D7C6DC-623A-47B9-BDD8-1E192344E9DB}"/>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53713" y="29422725"/>
          <a:ext cx="720000" cy="933337"/>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36</xdr:row>
      <xdr:rowOff>28575</xdr:rowOff>
    </xdr:from>
    <xdr:to>
      <xdr:col>17</xdr:col>
      <xdr:colOff>526576</xdr:colOff>
      <xdr:row>43</xdr:row>
      <xdr:rowOff>61801</xdr:rowOff>
    </xdr:to>
    <xdr:pic>
      <xdr:nvPicPr>
        <xdr:cNvPr id="7" name="Grafik 6">
          <a:extLst>
            <a:ext uri="{FF2B5EF4-FFF2-40B4-BE49-F238E27FC236}">
              <a16:creationId xmlns:a16="http://schemas.microsoft.com/office/drawing/2014/main" id="{581979DD-B5DE-4A92-BD19-A0D25505908A}"/>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653713" y="30580013"/>
          <a:ext cx="1312388" cy="933339"/>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28576</xdr:colOff>
      <xdr:row>82</xdr:row>
      <xdr:rowOff>52390</xdr:rowOff>
    </xdr:from>
    <xdr:to>
      <xdr:col>15</xdr:col>
      <xdr:colOff>527912</xdr:colOff>
      <xdr:row>96</xdr:row>
      <xdr:rowOff>124165</xdr:rowOff>
    </xdr:to>
    <xdr:pic>
      <xdr:nvPicPr>
        <xdr:cNvPr id="8" name="Grafik 7">
          <a:extLst>
            <a:ext uri="{FF2B5EF4-FFF2-40B4-BE49-F238E27FC236}">
              <a16:creationId xmlns:a16="http://schemas.microsoft.com/office/drawing/2014/main" id="{34C4303D-C075-4524-A8DA-B4D3A1B4FC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24939" y="35361565"/>
          <a:ext cx="1313723"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28575</xdr:colOff>
      <xdr:row>98</xdr:row>
      <xdr:rowOff>28575</xdr:rowOff>
    </xdr:from>
    <xdr:to>
      <xdr:col>15</xdr:col>
      <xdr:colOff>525764</xdr:colOff>
      <xdr:row>112</xdr:row>
      <xdr:rowOff>100350</xdr:rowOff>
    </xdr:to>
    <xdr:pic>
      <xdr:nvPicPr>
        <xdr:cNvPr id="9" name="Grafik 8">
          <a:extLst>
            <a:ext uri="{FF2B5EF4-FFF2-40B4-BE49-F238E27FC236}">
              <a16:creationId xmlns:a16="http://schemas.microsoft.com/office/drawing/2014/main" id="{C7CBCAE4-F7C6-4A26-9E64-8E948547191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24938" y="37395150"/>
          <a:ext cx="1311576"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28576</xdr:colOff>
      <xdr:row>82</xdr:row>
      <xdr:rowOff>52390</xdr:rowOff>
    </xdr:from>
    <xdr:to>
      <xdr:col>17</xdr:col>
      <xdr:colOff>527704</xdr:colOff>
      <xdr:row>96</xdr:row>
      <xdr:rowOff>124165</xdr:rowOff>
    </xdr:to>
    <xdr:pic>
      <xdr:nvPicPr>
        <xdr:cNvPr id="10" name="Grafik 9">
          <a:extLst>
            <a:ext uri="{FF2B5EF4-FFF2-40B4-BE49-F238E27FC236}">
              <a16:creationId xmlns:a16="http://schemas.microsoft.com/office/drawing/2014/main" id="{245C0CBF-68C0-4A97-8911-841EC3DC3A5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653714" y="35361565"/>
          <a:ext cx="1313515"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xdr:colOff>
      <xdr:row>98</xdr:row>
      <xdr:rowOff>28575</xdr:rowOff>
    </xdr:from>
    <xdr:to>
      <xdr:col>17</xdr:col>
      <xdr:colOff>525764</xdr:colOff>
      <xdr:row>112</xdr:row>
      <xdr:rowOff>100350</xdr:rowOff>
    </xdr:to>
    <xdr:pic>
      <xdr:nvPicPr>
        <xdr:cNvPr id="11" name="Grafik 10">
          <a:extLst>
            <a:ext uri="{FF2B5EF4-FFF2-40B4-BE49-F238E27FC236}">
              <a16:creationId xmlns:a16="http://schemas.microsoft.com/office/drawing/2014/main" id="{5699BA1E-9583-4FFF-A57C-4A480F2DF4E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653713" y="37395150"/>
          <a:ext cx="1311576" cy="18720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23815</xdr:colOff>
      <xdr:row>64</xdr:row>
      <xdr:rowOff>28579</xdr:rowOff>
    </xdr:from>
    <xdr:to>
      <xdr:col>15</xdr:col>
      <xdr:colOff>649428</xdr:colOff>
      <xdr:row>68</xdr:row>
      <xdr:rowOff>96283</xdr:rowOff>
    </xdr:to>
    <xdr:pic>
      <xdr:nvPicPr>
        <xdr:cNvPr id="12" name="Grafik 11">
          <a:extLst>
            <a:ext uri="{FF2B5EF4-FFF2-40B4-BE49-F238E27FC236}">
              <a16:creationId xmlns:a16="http://schemas.microsoft.com/office/drawing/2014/main" id="{49AEA999-C1D3-492A-8AC9-3D6BE82B55F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20178" y="33023179"/>
          <a:ext cx="1440000" cy="582053"/>
        </a:xfrm>
        <a:prstGeom prst="rect">
          <a:avLst/>
        </a:prstGeom>
        <a:ln w="12700">
          <a:solidFill>
            <a:schemeClr val="tx1"/>
          </a:solidFill>
        </a:ln>
      </xdr:spPr>
    </xdr:pic>
    <xdr:clientData/>
  </xdr:twoCellAnchor>
  <xdr:twoCellAnchor editAs="oneCell">
    <xdr:from>
      <xdr:col>16</xdr:col>
      <xdr:colOff>28578</xdr:colOff>
      <xdr:row>64</xdr:row>
      <xdr:rowOff>28578</xdr:rowOff>
    </xdr:from>
    <xdr:to>
      <xdr:col>17</xdr:col>
      <xdr:colOff>654191</xdr:colOff>
      <xdr:row>68</xdr:row>
      <xdr:rowOff>96282</xdr:rowOff>
    </xdr:to>
    <xdr:pic>
      <xdr:nvPicPr>
        <xdr:cNvPr id="13" name="Grafik 12">
          <a:extLst>
            <a:ext uri="{FF2B5EF4-FFF2-40B4-BE49-F238E27FC236}">
              <a16:creationId xmlns:a16="http://schemas.microsoft.com/office/drawing/2014/main" id="{AC4B7157-BADF-4FD2-9694-67C41AD668B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53716" y="33023178"/>
          <a:ext cx="1440000" cy="582053"/>
        </a:xfrm>
        <a:prstGeom prst="rect">
          <a:avLst/>
        </a:prstGeom>
        <a:ln w="12700">
          <a:solidFill>
            <a:schemeClr val="tx1"/>
          </a:solidFill>
        </a:ln>
      </xdr:spPr>
    </xdr:pic>
    <xdr:clientData/>
  </xdr:twoCellAnchor>
  <xdr:twoCellAnchor>
    <xdr:from>
      <xdr:col>14</xdr:col>
      <xdr:colOff>19035</xdr:colOff>
      <xdr:row>70</xdr:row>
      <xdr:rowOff>42868</xdr:rowOff>
    </xdr:from>
    <xdr:to>
      <xdr:col>15</xdr:col>
      <xdr:colOff>662647</xdr:colOff>
      <xdr:row>74</xdr:row>
      <xdr:rowOff>104776</xdr:rowOff>
    </xdr:to>
    <xdr:sp macro="" textlink="">
      <xdr:nvSpPr>
        <xdr:cNvPr id="15" name="Rechteck 14">
          <a:extLst>
            <a:ext uri="{FF2B5EF4-FFF2-40B4-BE49-F238E27FC236}">
              <a16:creationId xmlns:a16="http://schemas.microsoft.com/office/drawing/2014/main" id="{7D031D1E-063B-4AB7-AEC4-5447B3432835}"/>
            </a:ext>
          </a:extLst>
        </xdr:cNvPr>
        <xdr:cNvSpPr/>
      </xdr:nvSpPr>
      <xdr:spPr bwMode="auto">
        <a:xfrm>
          <a:off x="9015398" y="33808993"/>
          <a:ext cx="1457999" cy="576258"/>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de-CH" sz="1100"/>
        </a:p>
      </xdr:txBody>
    </xdr:sp>
    <xdr:clientData/>
  </xdr:twoCellAnchor>
  <xdr:twoCellAnchor editAs="oneCell">
    <xdr:from>
      <xdr:col>14</xdr:col>
      <xdr:colOff>71468</xdr:colOff>
      <xdr:row>70</xdr:row>
      <xdr:rowOff>90457</xdr:rowOff>
    </xdr:from>
    <xdr:to>
      <xdr:col>15</xdr:col>
      <xdr:colOff>592292</xdr:colOff>
      <xdr:row>74</xdr:row>
      <xdr:rowOff>80963</xdr:rowOff>
    </xdr:to>
    <xdr:pic>
      <xdr:nvPicPr>
        <xdr:cNvPr id="16" name="Grafik 15">
          <a:extLst>
            <a:ext uri="{FF2B5EF4-FFF2-40B4-BE49-F238E27FC236}">
              <a16:creationId xmlns:a16="http://schemas.microsoft.com/office/drawing/2014/main" id="{7285C37A-D400-4A60-8DEA-0DCBFF60359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067831" y="33856582"/>
          <a:ext cx="1335211" cy="504856"/>
        </a:xfrm>
        <a:prstGeom prst="rect">
          <a:avLst/>
        </a:prstGeom>
      </xdr:spPr>
    </xdr:pic>
    <xdr:clientData/>
  </xdr:twoCellAnchor>
  <xdr:twoCellAnchor editAs="oneCell">
    <xdr:from>
      <xdr:col>14</xdr:col>
      <xdr:colOff>19052</xdr:colOff>
      <xdr:row>120</xdr:row>
      <xdr:rowOff>0</xdr:rowOff>
    </xdr:from>
    <xdr:to>
      <xdr:col>14</xdr:col>
      <xdr:colOff>787333</xdr:colOff>
      <xdr:row>128</xdr:row>
      <xdr:rowOff>92576</xdr:rowOff>
    </xdr:to>
    <xdr:pic>
      <xdr:nvPicPr>
        <xdr:cNvPr id="17" name="Grafik 16">
          <a:extLst>
            <a:ext uri="{FF2B5EF4-FFF2-40B4-BE49-F238E27FC236}">
              <a16:creationId xmlns:a16="http://schemas.microsoft.com/office/drawing/2014/main" id="{4FBDE264-3C0C-41A3-9E37-F6BB964F29C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5415" y="40195500"/>
          <a:ext cx="768281" cy="1121275"/>
        </a:xfrm>
        <a:prstGeom prst="rect">
          <a:avLst/>
        </a:prstGeom>
        <a:solidFill>
          <a:schemeClr val="bg1"/>
        </a:solidFill>
        <a:ln w="12700">
          <a:solidFill>
            <a:schemeClr val="tx1"/>
          </a:solidFill>
        </a:ln>
      </xdr:spPr>
    </xdr:pic>
    <xdr:clientData/>
  </xdr:twoCellAnchor>
  <xdr:twoCellAnchor editAs="oneCell">
    <xdr:from>
      <xdr:col>16</xdr:col>
      <xdr:colOff>23817</xdr:colOff>
      <xdr:row>119</xdr:row>
      <xdr:rowOff>114300</xdr:rowOff>
    </xdr:from>
    <xdr:to>
      <xdr:col>17</xdr:col>
      <xdr:colOff>54240</xdr:colOff>
      <xdr:row>128</xdr:row>
      <xdr:rowOff>80212</xdr:rowOff>
    </xdr:to>
    <xdr:pic>
      <xdr:nvPicPr>
        <xdr:cNvPr id="18" name="Grafik 17">
          <a:extLst>
            <a:ext uri="{FF2B5EF4-FFF2-40B4-BE49-F238E27FC236}">
              <a16:creationId xmlns:a16="http://schemas.microsoft.com/office/drawing/2014/main" id="{36CE15E9-A8EA-4DCF-A54E-F2A760A9027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648955" y="40181213"/>
          <a:ext cx="844810" cy="112320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28578</xdr:colOff>
      <xdr:row>130</xdr:row>
      <xdr:rowOff>0</xdr:rowOff>
    </xdr:from>
    <xdr:to>
      <xdr:col>17</xdr:col>
      <xdr:colOff>323087</xdr:colOff>
      <xdr:row>138</xdr:row>
      <xdr:rowOff>51300</xdr:rowOff>
    </xdr:to>
    <xdr:pic>
      <xdr:nvPicPr>
        <xdr:cNvPr id="19" name="Grafik 18">
          <a:extLst>
            <a:ext uri="{FF2B5EF4-FFF2-40B4-BE49-F238E27FC236}">
              <a16:creationId xmlns:a16="http://schemas.microsoft.com/office/drawing/2014/main" id="{3F47BFBA-7563-4802-AEE6-5B9763EA5E1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653716" y="41481375"/>
          <a:ext cx="1108896" cy="1080000"/>
        </a:xfrm>
        <a:prstGeom prst="rect">
          <a:avLst/>
        </a:prstGeom>
        <a:solidFill>
          <a:schemeClr val="bg1"/>
        </a:solidFill>
        <a:ln w="12700">
          <a:solidFill>
            <a:schemeClr val="tx1"/>
          </a:solidFill>
        </a:ln>
      </xdr:spPr>
    </xdr:pic>
    <xdr:clientData/>
  </xdr:twoCellAnchor>
  <xdr:twoCellAnchor editAs="oneCell">
    <xdr:from>
      <xdr:col>14</xdr:col>
      <xdr:colOff>23814</xdr:colOff>
      <xdr:row>130</xdr:row>
      <xdr:rowOff>0</xdr:rowOff>
    </xdr:from>
    <xdr:to>
      <xdr:col>15</xdr:col>
      <xdr:colOff>318323</xdr:colOff>
      <xdr:row>138</xdr:row>
      <xdr:rowOff>51300</xdr:rowOff>
    </xdr:to>
    <xdr:pic>
      <xdr:nvPicPr>
        <xdr:cNvPr id="20" name="Grafik 19">
          <a:extLst>
            <a:ext uri="{FF2B5EF4-FFF2-40B4-BE49-F238E27FC236}">
              <a16:creationId xmlns:a16="http://schemas.microsoft.com/office/drawing/2014/main" id="{7117C723-AC08-4684-9BE2-00B4486D24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020177" y="41481375"/>
          <a:ext cx="1108896" cy="1080000"/>
        </a:xfrm>
        <a:prstGeom prst="rect">
          <a:avLst/>
        </a:prstGeom>
        <a:solidFill>
          <a:schemeClr val="bg1"/>
        </a:solidFill>
        <a:ln w="12700">
          <a:solidFill>
            <a:schemeClr val="tx1"/>
          </a:solidFill>
        </a:ln>
      </xdr:spPr>
    </xdr:pic>
    <xdr:clientData/>
  </xdr:twoCellAnchor>
  <xdr:twoCellAnchor>
    <xdr:from>
      <xdr:col>23</xdr:col>
      <xdr:colOff>419115</xdr:colOff>
      <xdr:row>10</xdr:row>
      <xdr:rowOff>90506</xdr:rowOff>
    </xdr:from>
    <xdr:to>
      <xdr:col>27</xdr:col>
      <xdr:colOff>401565</xdr:colOff>
      <xdr:row>12</xdr:row>
      <xdr:rowOff>95202</xdr:rowOff>
    </xdr:to>
    <xdr:pic>
      <xdr:nvPicPr>
        <xdr:cNvPr id="21" name="Grafik 20">
          <a:extLst>
            <a:ext uri="{FF2B5EF4-FFF2-40B4-BE49-F238E27FC236}">
              <a16:creationId xmlns:a16="http://schemas.microsoft.com/office/drawing/2014/main" id="{6531554C-C8F2-48B9-8134-B1C964DCD88B}"/>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126340" y="27298669"/>
          <a:ext cx="3240000" cy="261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176203</xdr:colOff>
      <xdr:row>14</xdr:row>
      <xdr:rowOff>123835</xdr:rowOff>
    </xdr:from>
    <xdr:to>
      <xdr:col>25</xdr:col>
      <xdr:colOff>329878</xdr:colOff>
      <xdr:row>73</xdr:row>
      <xdr:rowOff>95131</xdr:rowOff>
    </xdr:to>
    <xdr:pic>
      <xdr:nvPicPr>
        <xdr:cNvPr id="22" name="Grafik 21">
          <a:extLst>
            <a:ext uri="{FF2B5EF4-FFF2-40B4-BE49-F238E27FC236}">
              <a16:creationId xmlns:a16="http://schemas.microsoft.com/office/drawing/2014/main" id="{545ADE09-8289-495B-90B8-4C5897E8F582}"/>
            </a:ext>
          </a:extLst>
        </xdr:cNvPr>
        <xdr:cNvPicPr>
          <a:picLocks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362760" y="1952635"/>
          <a:ext cx="4986932" cy="7678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504813</xdr:colOff>
      <xdr:row>15</xdr:row>
      <xdr:rowOff>4088</xdr:rowOff>
    </xdr:from>
    <xdr:to>
      <xdr:col>31</xdr:col>
      <xdr:colOff>658488</xdr:colOff>
      <xdr:row>73</xdr:row>
      <xdr:rowOff>106013</xdr:rowOff>
    </xdr:to>
    <xdr:pic>
      <xdr:nvPicPr>
        <xdr:cNvPr id="23" name="Grafik 22">
          <a:extLst>
            <a:ext uri="{FF2B5EF4-FFF2-40B4-BE49-F238E27FC236}">
              <a16:creationId xmlns:a16="http://schemas.microsoft.com/office/drawing/2014/main" id="{2067BC3C-5356-4196-B2A5-E5CDF6287435}"/>
            </a:ext>
          </a:extLst>
        </xdr:cNvPr>
        <xdr:cNvPicPr>
          <a:picLocks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7524627" y="1963517"/>
          <a:ext cx="4986932" cy="7678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28592</xdr:colOff>
      <xdr:row>54</xdr:row>
      <xdr:rowOff>33334</xdr:rowOff>
    </xdr:from>
    <xdr:to>
      <xdr:col>17</xdr:col>
      <xdr:colOff>284055</xdr:colOff>
      <xdr:row>62</xdr:row>
      <xdr:rowOff>77532</xdr:rowOff>
    </xdr:to>
    <xdr:pic>
      <xdr:nvPicPr>
        <xdr:cNvPr id="24" name="Grafik 23">
          <a:extLst>
            <a:ext uri="{FF2B5EF4-FFF2-40B4-BE49-F238E27FC236}">
              <a16:creationId xmlns:a16="http://schemas.microsoft.com/office/drawing/2014/main" id="{383D5CFC-2CB0-46E5-BA9C-FF74C44BBB2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0653730" y="31742059"/>
          <a:ext cx="1069850" cy="1072898"/>
        </a:xfrm>
        <a:prstGeom prst="rect">
          <a:avLst/>
        </a:prstGeom>
        <a:solidFill>
          <a:schemeClr val="bg1"/>
        </a:solidFill>
        <a:ln w="12700">
          <a:solidFill>
            <a:schemeClr val="tx1"/>
          </a:solidFill>
        </a:ln>
      </xdr:spPr>
    </xdr:pic>
    <xdr:clientData/>
  </xdr:twoCellAnchor>
  <xdr:twoCellAnchor editAs="oneCell">
    <xdr:from>
      <xdr:col>14</xdr:col>
      <xdr:colOff>28595</xdr:colOff>
      <xdr:row>54</xdr:row>
      <xdr:rowOff>33344</xdr:rowOff>
    </xdr:from>
    <xdr:to>
      <xdr:col>15</xdr:col>
      <xdr:colOff>284058</xdr:colOff>
      <xdr:row>62</xdr:row>
      <xdr:rowOff>77542</xdr:rowOff>
    </xdr:to>
    <xdr:pic>
      <xdr:nvPicPr>
        <xdr:cNvPr id="25" name="Grafik 24">
          <a:extLst>
            <a:ext uri="{FF2B5EF4-FFF2-40B4-BE49-F238E27FC236}">
              <a16:creationId xmlns:a16="http://schemas.microsoft.com/office/drawing/2014/main" id="{3D010918-B37A-416D-8A96-9986AF1B80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024958" y="31742069"/>
          <a:ext cx="1069850" cy="1072898"/>
        </a:xfrm>
        <a:prstGeom prst="rect">
          <a:avLst/>
        </a:prstGeom>
        <a:solidFill>
          <a:schemeClr val="bg1"/>
        </a:solidFill>
        <a:ln w="12700">
          <a:solidFill>
            <a:schemeClr val="tx1"/>
          </a:solidFill>
        </a:ln>
      </xdr:spPr>
    </xdr:pic>
    <xdr:clientData/>
  </xdr:twoCellAnchor>
  <xdr:twoCellAnchor editAs="oneCell">
    <xdr:from>
      <xdr:col>2</xdr:col>
      <xdr:colOff>3008546</xdr:colOff>
      <xdr:row>62</xdr:row>
      <xdr:rowOff>14957</xdr:rowOff>
    </xdr:from>
    <xdr:to>
      <xdr:col>4</xdr:col>
      <xdr:colOff>395296</xdr:colOff>
      <xdr:row>70</xdr:row>
      <xdr:rowOff>119733</xdr:rowOff>
    </xdr:to>
    <xdr:pic>
      <xdr:nvPicPr>
        <xdr:cNvPr id="37" name="Grafik 36">
          <a:extLst>
            <a:ext uri="{FF2B5EF4-FFF2-40B4-BE49-F238E27FC236}">
              <a16:creationId xmlns:a16="http://schemas.microsoft.com/office/drawing/2014/main" id="{E84F412D-725F-4C17-B339-D421B6510887}"/>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683460" y="8113928"/>
          <a:ext cx="1125993" cy="1149805"/>
        </a:xfrm>
        <a:prstGeom prst="rect">
          <a:avLst/>
        </a:prstGeom>
      </xdr:spPr>
    </xdr:pic>
    <xdr:clientData/>
  </xdr:twoCellAnchor>
  <xdr:twoCellAnchor editAs="oneCell">
    <xdr:from>
      <xdr:col>0</xdr:col>
      <xdr:colOff>0</xdr:colOff>
      <xdr:row>76</xdr:row>
      <xdr:rowOff>76200</xdr:rowOff>
    </xdr:from>
    <xdr:to>
      <xdr:col>10</xdr:col>
      <xdr:colOff>78945</xdr:colOff>
      <xdr:row>132</xdr:row>
      <xdr:rowOff>123825</xdr:rowOff>
    </xdr:to>
    <xdr:pic>
      <xdr:nvPicPr>
        <xdr:cNvPr id="14" name="Grafik 13">
          <a:extLst>
            <a:ext uri="{FF2B5EF4-FFF2-40B4-BE49-F238E27FC236}">
              <a16:creationId xmlns:a16="http://schemas.microsoft.com/office/drawing/2014/main" id="{29C16BD7-4A38-3F14-AB07-8DF7708EFF34}"/>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0" y="9848850"/>
          <a:ext cx="6570233" cy="724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104786</xdr:rowOff>
    </xdr:from>
    <xdr:to>
      <xdr:col>2</xdr:col>
      <xdr:colOff>1981199</xdr:colOff>
      <xdr:row>71</xdr:row>
      <xdr:rowOff>6769</xdr:rowOff>
    </xdr:to>
    <xdr:pic>
      <xdr:nvPicPr>
        <xdr:cNvPr id="27" name="Grafik 26">
          <a:extLst>
            <a:ext uri="{FF2B5EF4-FFF2-40B4-BE49-F238E27FC236}">
              <a16:creationId xmlns:a16="http://schemas.microsoft.com/office/drawing/2014/main" id="{AD119415-B28E-425C-9A69-659E1F9328E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1913" y="7048511"/>
          <a:ext cx="2605086" cy="2087971"/>
        </a:xfrm>
        <a:prstGeom prst="rect">
          <a:avLst/>
        </a:prstGeom>
      </xdr:spPr>
    </xdr:pic>
    <xdr:clientData/>
  </xdr:twoCellAnchor>
  <xdr:twoCellAnchor editAs="oneCell">
    <xdr:from>
      <xdr:col>19</xdr:col>
      <xdr:colOff>212273</xdr:colOff>
      <xdr:row>80</xdr:row>
      <xdr:rowOff>0</xdr:rowOff>
    </xdr:from>
    <xdr:to>
      <xdr:col>21</xdr:col>
      <xdr:colOff>760822</xdr:colOff>
      <xdr:row>90</xdr:row>
      <xdr:rowOff>36105</xdr:rowOff>
    </xdr:to>
    <xdr:pic>
      <xdr:nvPicPr>
        <xdr:cNvPr id="26" name="Grafik 25">
          <a:extLst>
            <a:ext uri="{FF2B5EF4-FFF2-40B4-BE49-F238E27FC236}">
              <a16:creationId xmlns:a16="http://schemas.microsoft.com/office/drawing/2014/main" id="{35C018D2-F29A-A57E-7211-4124444354A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398830" y="10450286"/>
          <a:ext cx="2159635" cy="1342390"/>
        </a:xfrm>
        <a:prstGeom prst="rect">
          <a:avLst/>
        </a:prstGeom>
      </xdr:spPr>
    </xdr:pic>
    <xdr:clientData/>
  </xdr:twoCellAnchor>
  <xdr:twoCellAnchor editAs="oneCell">
    <xdr:from>
      <xdr:col>19</xdr:col>
      <xdr:colOff>206815</xdr:colOff>
      <xdr:row>92</xdr:row>
      <xdr:rowOff>76208</xdr:rowOff>
    </xdr:from>
    <xdr:to>
      <xdr:col>21</xdr:col>
      <xdr:colOff>755364</xdr:colOff>
      <xdr:row>101</xdr:row>
      <xdr:rowOff>37836</xdr:rowOff>
    </xdr:to>
    <xdr:pic>
      <xdr:nvPicPr>
        <xdr:cNvPr id="28" name="Grafik 27">
          <a:extLst>
            <a:ext uri="{FF2B5EF4-FFF2-40B4-BE49-F238E27FC236}">
              <a16:creationId xmlns:a16="http://schemas.microsoft.com/office/drawing/2014/main" id="{0C337C56-E4DD-B02E-120B-F0A4B10B0F4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2393372" y="12094037"/>
          <a:ext cx="2159635" cy="1137285"/>
        </a:xfrm>
        <a:prstGeom prst="rect">
          <a:avLst/>
        </a:prstGeom>
      </xdr:spPr>
    </xdr:pic>
    <xdr:clientData/>
  </xdr:twoCellAnchor>
  <xdr:twoCellAnchor editAs="oneCell">
    <xdr:from>
      <xdr:col>22</xdr:col>
      <xdr:colOff>549727</xdr:colOff>
      <xdr:row>80</xdr:row>
      <xdr:rowOff>102562</xdr:rowOff>
    </xdr:from>
    <xdr:to>
      <xdr:col>26</xdr:col>
      <xdr:colOff>266699</xdr:colOff>
      <xdr:row>100</xdr:row>
      <xdr:rowOff>71356</xdr:rowOff>
    </xdr:to>
    <xdr:pic>
      <xdr:nvPicPr>
        <xdr:cNvPr id="29" name="Grafik 28">
          <a:extLst>
            <a:ext uri="{FF2B5EF4-FFF2-40B4-BE49-F238E27FC236}">
              <a16:creationId xmlns:a16="http://schemas.microsoft.com/office/drawing/2014/main" id="{E35AAB0D-B3DF-3AE5-7F52-DF6D20388B3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5152913" y="10552848"/>
          <a:ext cx="2939143" cy="2581365"/>
        </a:xfrm>
        <a:prstGeom prst="rect">
          <a:avLst/>
        </a:prstGeom>
      </xdr:spPr>
    </xdr:pic>
    <xdr:clientData/>
  </xdr:twoCellAnchor>
  <xdr:twoCellAnchor editAs="oneCell">
    <xdr:from>
      <xdr:col>27</xdr:col>
      <xdr:colOff>250377</xdr:colOff>
      <xdr:row>80</xdr:row>
      <xdr:rowOff>103414</xdr:rowOff>
    </xdr:from>
    <xdr:to>
      <xdr:col>31</xdr:col>
      <xdr:colOff>477582</xdr:colOff>
      <xdr:row>100</xdr:row>
      <xdr:rowOff>72043</xdr:rowOff>
    </xdr:to>
    <xdr:pic>
      <xdr:nvPicPr>
        <xdr:cNvPr id="30" name="Grafik 29">
          <a:extLst>
            <a:ext uri="{FF2B5EF4-FFF2-40B4-BE49-F238E27FC236}">
              <a16:creationId xmlns:a16="http://schemas.microsoft.com/office/drawing/2014/main" id="{FA71CC67-3CC5-51F0-5857-663F64909F5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8881277" y="10553700"/>
          <a:ext cx="3449376" cy="2581200"/>
        </a:xfrm>
        <a:prstGeom prst="rect">
          <a:avLst/>
        </a:prstGeom>
      </xdr:spPr>
    </xdr:pic>
    <xdr:clientData/>
  </xdr:twoCellAnchor>
  <xdr:twoCellAnchor editAs="oneCell">
    <xdr:from>
      <xdr:col>19</xdr:col>
      <xdr:colOff>136076</xdr:colOff>
      <xdr:row>102</xdr:row>
      <xdr:rowOff>5478</xdr:rowOff>
    </xdr:from>
    <xdr:to>
      <xdr:col>25</xdr:col>
      <xdr:colOff>309088</xdr:colOff>
      <xdr:row>159</xdr:row>
      <xdr:rowOff>76240</xdr:rowOff>
    </xdr:to>
    <xdr:pic>
      <xdr:nvPicPr>
        <xdr:cNvPr id="31" name="Grafik 30">
          <a:extLst>
            <a:ext uri="{FF2B5EF4-FFF2-40B4-BE49-F238E27FC236}">
              <a16:creationId xmlns:a16="http://schemas.microsoft.com/office/drawing/2014/main" id="{E442BB15-5269-060E-F553-22A323BCA4A7}"/>
            </a:ext>
          </a:extLst>
        </xdr:cNvPr>
        <xdr:cNvPicPr>
          <a:picLocks noChangeAspect="1"/>
        </xdr:cNvPicPr>
      </xdr:nvPicPr>
      <xdr:blipFill>
        <a:blip xmlns:r="http://schemas.openxmlformats.org/officeDocument/2006/relationships" r:embed="rId30"/>
        <a:stretch>
          <a:fillRect/>
        </a:stretch>
      </xdr:blipFill>
      <xdr:spPr>
        <a:xfrm>
          <a:off x="12322633" y="13329592"/>
          <a:ext cx="5006269" cy="7516591"/>
        </a:xfrm>
        <a:prstGeom prst="rect">
          <a:avLst/>
        </a:prstGeom>
      </xdr:spPr>
    </xdr:pic>
    <xdr:clientData/>
  </xdr:twoCellAnchor>
  <xdr:twoCellAnchor editAs="oneCell">
    <xdr:from>
      <xdr:col>25</xdr:col>
      <xdr:colOff>680369</xdr:colOff>
      <xdr:row>102</xdr:row>
      <xdr:rowOff>0</xdr:rowOff>
    </xdr:from>
    <xdr:to>
      <xdr:col>32</xdr:col>
      <xdr:colOff>73556</xdr:colOff>
      <xdr:row>159</xdr:row>
      <xdr:rowOff>70971</xdr:rowOff>
    </xdr:to>
    <xdr:pic>
      <xdr:nvPicPr>
        <xdr:cNvPr id="32" name="Grafik 31">
          <a:extLst>
            <a:ext uri="{FF2B5EF4-FFF2-40B4-BE49-F238E27FC236}">
              <a16:creationId xmlns:a16="http://schemas.microsoft.com/office/drawing/2014/main" id="{E077EA17-85E7-EFE2-25E2-0DE7E4844AC0}"/>
            </a:ext>
          </a:extLst>
        </xdr:cNvPr>
        <xdr:cNvPicPr>
          <a:picLocks noChangeAspect="1"/>
        </xdr:cNvPicPr>
      </xdr:nvPicPr>
      <xdr:blipFill>
        <a:blip xmlns:r="http://schemas.openxmlformats.org/officeDocument/2006/relationships" r:embed="rId31"/>
        <a:stretch>
          <a:fillRect/>
        </a:stretch>
      </xdr:blipFill>
      <xdr:spPr>
        <a:xfrm>
          <a:off x="17700183" y="13324114"/>
          <a:ext cx="5031987" cy="7516800"/>
        </a:xfrm>
        <a:prstGeom prst="rect">
          <a:avLst/>
        </a:prstGeom>
      </xdr:spPr>
    </xdr:pic>
    <xdr:clientData/>
  </xdr:twoCellAnchor>
  <xdr:twoCellAnchor editAs="oneCell">
    <xdr:from>
      <xdr:col>32</xdr:col>
      <xdr:colOff>440877</xdr:colOff>
      <xdr:row>102</xdr:row>
      <xdr:rowOff>0</xdr:rowOff>
    </xdr:from>
    <xdr:to>
      <xdr:col>38</xdr:col>
      <xdr:colOff>623602</xdr:colOff>
      <xdr:row>159</xdr:row>
      <xdr:rowOff>70971</xdr:rowOff>
    </xdr:to>
    <xdr:pic>
      <xdr:nvPicPr>
        <xdr:cNvPr id="34" name="Grafik 33">
          <a:extLst>
            <a:ext uri="{FF2B5EF4-FFF2-40B4-BE49-F238E27FC236}">
              <a16:creationId xmlns:a16="http://schemas.microsoft.com/office/drawing/2014/main" id="{34890964-FD58-411F-A42B-1B9FB1B8379D}"/>
            </a:ext>
          </a:extLst>
        </xdr:cNvPr>
        <xdr:cNvPicPr>
          <a:picLocks noChangeAspect="1"/>
        </xdr:cNvPicPr>
      </xdr:nvPicPr>
      <xdr:blipFill>
        <a:blip xmlns:r="http://schemas.openxmlformats.org/officeDocument/2006/relationships" r:embed="rId32"/>
        <a:stretch>
          <a:fillRect/>
        </a:stretch>
      </xdr:blipFill>
      <xdr:spPr>
        <a:xfrm>
          <a:off x="23099491" y="13324114"/>
          <a:ext cx="5015982" cy="7516800"/>
        </a:xfrm>
        <a:prstGeom prst="rect">
          <a:avLst/>
        </a:prstGeom>
      </xdr:spPr>
    </xdr:pic>
    <xdr:clientData/>
  </xdr:twoCellAnchor>
  <xdr:twoCellAnchor editAs="oneCell">
    <xdr:from>
      <xdr:col>34</xdr:col>
      <xdr:colOff>92504</xdr:colOff>
      <xdr:row>80</xdr:row>
      <xdr:rowOff>103420</xdr:rowOff>
    </xdr:from>
    <xdr:to>
      <xdr:col>36</xdr:col>
      <xdr:colOff>762549</xdr:colOff>
      <xdr:row>100</xdr:row>
      <xdr:rowOff>72049</xdr:rowOff>
    </xdr:to>
    <xdr:pic>
      <xdr:nvPicPr>
        <xdr:cNvPr id="38" name="Grafik 37">
          <a:extLst>
            <a:ext uri="{FF2B5EF4-FFF2-40B4-BE49-F238E27FC236}">
              <a16:creationId xmlns:a16="http://schemas.microsoft.com/office/drawing/2014/main" id="{C354C24E-6FB8-E0A9-66EF-6E82FF99C1F0}"/>
            </a:ext>
          </a:extLst>
        </xdr:cNvPr>
        <xdr:cNvPicPr>
          <a:picLocks noChangeAspect="1"/>
        </xdr:cNvPicPr>
      </xdr:nvPicPr>
      <xdr:blipFill>
        <a:blip xmlns:r="http://schemas.openxmlformats.org/officeDocument/2006/relationships" r:embed="rId33"/>
        <a:stretch>
          <a:fillRect/>
        </a:stretch>
      </xdr:blipFill>
      <xdr:spPr>
        <a:xfrm>
          <a:off x="24362204" y="10553706"/>
          <a:ext cx="2281131" cy="2581200"/>
        </a:xfrm>
        <a:prstGeom prst="rect">
          <a:avLst/>
        </a:prstGeom>
      </xdr:spPr>
    </xdr:pic>
    <xdr:clientData/>
  </xdr:twoCellAnchor>
  <xdr:twoCellAnchor editAs="oneCell">
    <xdr:from>
      <xdr:col>16</xdr:col>
      <xdr:colOff>32669</xdr:colOff>
      <xdr:row>45</xdr:row>
      <xdr:rowOff>54417</xdr:rowOff>
    </xdr:from>
    <xdr:to>
      <xdr:col>17</xdr:col>
      <xdr:colOff>613969</xdr:colOff>
      <xdr:row>52</xdr:row>
      <xdr:rowOff>48323</xdr:rowOff>
    </xdr:to>
    <xdr:pic>
      <xdr:nvPicPr>
        <xdr:cNvPr id="35" name="Grafik 34">
          <a:extLst>
            <a:ext uri="{FF2B5EF4-FFF2-40B4-BE49-F238E27FC236}">
              <a16:creationId xmlns:a16="http://schemas.microsoft.com/office/drawing/2014/main" id="{0713FDD9-9537-1540-7E27-711C6E9A728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0548269" y="5932703"/>
          <a:ext cx="1386843" cy="908306"/>
        </a:xfrm>
        <a:prstGeom prst="rect">
          <a:avLst/>
        </a:prstGeom>
        <a:solidFill>
          <a:schemeClr val="bg1"/>
        </a:solidFill>
        <a:ln w="12700">
          <a:solidFill>
            <a:schemeClr val="tx1"/>
          </a:solidFill>
        </a:ln>
      </xdr:spPr>
    </xdr:pic>
    <xdr:clientData/>
  </xdr:twoCellAnchor>
  <xdr:twoCellAnchor editAs="oneCell">
    <xdr:from>
      <xdr:col>14</xdr:col>
      <xdr:colOff>21768</xdr:colOff>
      <xdr:row>45</xdr:row>
      <xdr:rowOff>65301</xdr:rowOff>
    </xdr:from>
    <xdr:to>
      <xdr:col>15</xdr:col>
      <xdr:colOff>627452</xdr:colOff>
      <xdr:row>52</xdr:row>
      <xdr:rowOff>43967</xdr:rowOff>
    </xdr:to>
    <xdr:pic>
      <xdr:nvPicPr>
        <xdr:cNvPr id="39" name="Grafik 38">
          <a:extLst>
            <a:ext uri="{FF2B5EF4-FFF2-40B4-BE49-F238E27FC236}">
              <a16:creationId xmlns:a16="http://schemas.microsoft.com/office/drawing/2014/main" id="{D0BDEDD3-D4ED-9EC5-210A-8F5E6C12CBDD}"/>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8926282" y="5943587"/>
          <a:ext cx="1411227" cy="893066"/>
        </a:xfrm>
        <a:prstGeom prst="rect">
          <a:avLst/>
        </a:prstGeom>
        <a:solidFill>
          <a:schemeClr val="bg1"/>
        </a:solidFill>
        <a:ln w="127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3003096</xdr:colOff>
      <xdr:row>62</xdr:row>
      <xdr:rowOff>29926</xdr:rowOff>
    </xdr:from>
    <xdr:to>
      <xdr:col>4</xdr:col>
      <xdr:colOff>389846</xdr:colOff>
      <xdr:row>71</xdr:row>
      <xdr:rowOff>4073</xdr:rowOff>
    </xdr:to>
    <xdr:pic>
      <xdr:nvPicPr>
        <xdr:cNvPr id="15" name="Grafik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8010" y="8128897"/>
          <a:ext cx="1125993" cy="1149805"/>
        </a:xfrm>
        <a:prstGeom prst="rect">
          <a:avLst/>
        </a:prstGeom>
      </xdr:spPr>
    </xdr:pic>
    <xdr:clientData/>
  </xdr:twoCellAnchor>
  <xdr:twoCellAnchor editAs="oneCell">
    <xdr:from>
      <xdr:col>15</xdr:col>
      <xdr:colOff>495308</xdr:colOff>
      <xdr:row>19</xdr:row>
      <xdr:rowOff>38099</xdr:rowOff>
    </xdr:from>
    <xdr:to>
      <xdr:col>17</xdr:col>
      <xdr:colOff>666533</xdr:colOff>
      <xdr:row>33</xdr:row>
      <xdr:rowOff>102330</xdr:rowOff>
    </xdr:to>
    <xdr:pic>
      <xdr:nvPicPr>
        <xdr:cNvPr id="3" name="Grafik 2">
          <a:extLst>
            <a:ext uri="{FF2B5EF4-FFF2-40B4-BE49-F238E27FC236}">
              <a16:creationId xmlns:a16="http://schemas.microsoft.com/office/drawing/2014/main" id="{2613C236-91B6-217B-804D-73286AAB1E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6058" y="3505199"/>
          <a:ext cx="1800000" cy="1864456"/>
        </a:xfrm>
        <a:prstGeom prst="rect">
          <a:avLst/>
        </a:prstGeom>
        <a:solidFill>
          <a:schemeClr val="bg1"/>
        </a:solidFill>
      </xdr:spPr>
    </xdr:pic>
    <xdr:clientData/>
  </xdr:twoCellAnchor>
  <xdr:twoCellAnchor editAs="oneCell">
    <xdr:from>
      <xdr:col>15</xdr:col>
      <xdr:colOff>485777</xdr:colOff>
      <xdr:row>40</xdr:row>
      <xdr:rowOff>38139</xdr:rowOff>
    </xdr:from>
    <xdr:to>
      <xdr:col>17</xdr:col>
      <xdr:colOff>657002</xdr:colOff>
      <xdr:row>54</xdr:row>
      <xdr:rowOff>115500</xdr:rowOff>
    </xdr:to>
    <xdr:pic>
      <xdr:nvPicPr>
        <xdr:cNvPr id="5" name="Grafik 4">
          <a:extLst>
            <a:ext uri="{FF2B5EF4-FFF2-40B4-BE49-F238E27FC236}">
              <a16:creationId xmlns:a16="http://schemas.microsoft.com/office/drawing/2014/main" id="{A86D2E2C-C92C-52F6-5EF2-02544131E0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6527" y="6305589"/>
          <a:ext cx="1800000" cy="1877586"/>
        </a:xfrm>
        <a:prstGeom prst="rect">
          <a:avLst/>
        </a:prstGeom>
        <a:solidFill>
          <a:schemeClr val="bg1"/>
        </a:solidFill>
      </xdr:spPr>
    </xdr:pic>
    <xdr:clientData/>
  </xdr:twoCellAnchor>
  <xdr:twoCellAnchor editAs="oneCell">
    <xdr:from>
      <xdr:col>15</xdr:col>
      <xdr:colOff>490535</xdr:colOff>
      <xdr:row>34</xdr:row>
      <xdr:rowOff>47616</xdr:rowOff>
    </xdr:from>
    <xdr:to>
      <xdr:col>17</xdr:col>
      <xdr:colOff>661760</xdr:colOff>
      <xdr:row>39</xdr:row>
      <xdr:rowOff>52731</xdr:rowOff>
    </xdr:to>
    <xdr:pic>
      <xdr:nvPicPr>
        <xdr:cNvPr id="13" name="Grafik 12">
          <a:extLst>
            <a:ext uri="{FF2B5EF4-FFF2-40B4-BE49-F238E27FC236}">
              <a16:creationId xmlns:a16="http://schemas.microsoft.com/office/drawing/2014/main" id="{790E2EC6-C215-9C5D-7806-CE54029DDF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01285" y="5514966"/>
          <a:ext cx="1800000" cy="648053"/>
        </a:xfrm>
        <a:prstGeom prst="rect">
          <a:avLst/>
        </a:prstGeom>
        <a:solidFill>
          <a:schemeClr val="bg1"/>
        </a:solidFill>
      </xdr:spPr>
    </xdr:pic>
    <xdr:clientData/>
  </xdr:twoCellAnchor>
  <xdr:twoCellAnchor editAs="oneCell">
    <xdr:from>
      <xdr:col>15</xdr:col>
      <xdr:colOff>485791</xdr:colOff>
      <xdr:row>55</xdr:row>
      <xdr:rowOff>38099</xdr:rowOff>
    </xdr:from>
    <xdr:to>
      <xdr:col>17</xdr:col>
      <xdr:colOff>657016</xdr:colOff>
      <xdr:row>69</xdr:row>
      <xdr:rowOff>67819</xdr:rowOff>
    </xdr:to>
    <xdr:pic>
      <xdr:nvPicPr>
        <xdr:cNvPr id="16" name="Grafik 15">
          <a:extLst>
            <a:ext uri="{FF2B5EF4-FFF2-40B4-BE49-F238E27FC236}">
              <a16:creationId xmlns:a16="http://schemas.microsoft.com/office/drawing/2014/main" id="{392907F0-2F01-64D7-F96D-9382BFC054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96541" y="8305799"/>
          <a:ext cx="1800000" cy="1827565"/>
        </a:xfrm>
        <a:prstGeom prst="rect">
          <a:avLst/>
        </a:prstGeom>
      </xdr:spPr>
    </xdr:pic>
    <xdr:clientData/>
  </xdr:twoCellAnchor>
  <xdr:twoCellAnchor editAs="oneCell">
    <xdr:from>
      <xdr:col>15</xdr:col>
      <xdr:colOff>495322</xdr:colOff>
      <xdr:row>79</xdr:row>
      <xdr:rowOff>42848</xdr:rowOff>
    </xdr:from>
    <xdr:to>
      <xdr:col>17</xdr:col>
      <xdr:colOff>666547</xdr:colOff>
      <xdr:row>97</xdr:row>
      <xdr:rowOff>65788</xdr:rowOff>
    </xdr:to>
    <xdr:pic>
      <xdr:nvPicPr>
        <xdr:cNvPr id="20" name="Grafik 19">
          <a:extLst>
            <a:ext uri="{FF2B5EF4-FFF2-40B4-BE49-F238E27FC236}">
              <a16:creationId xmlns:a16="http://schemas.microsoft.com/office/drawing/2014/main" id="{B6A6FB3F-1D1E-1DC2-E69D-64AA4DF9B0B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439922" y="4176698"/>
          <a:ext cx="1800000" cy="2337515"/>
        </a:xfrm>
        <a:prstGeom prst="rect">
          <a:avLst/>
        </a:prstGeom>
        <a:solidFill>
          <a:schemeClr val="bg1"/>
        </a:solidFill>
      </xdr:spPr>
    </xdr:pic>
    <xdr:clientData/>
  </xdr:twoCellAnchor>
  <xdr:twoCellAnchor>
    <xdr:from>
      <xdr:col>13</xdr:col>
      <xdr:colOff>433367</xdr:colOff>
      <xdr:row>129</xdr:row>
      <xdr:rowOff>104772</xdr:rowOff>
    </xdr:from>
    <xdr:to>
      <xdr:col>15</xdr:col>
      <xdr:colOff>74942</xdr:colOff>
      <xdr:row>142</xdr:row>
      <xdr:rowOff>19050</xdr:rowOff>
    </xdr:to>
    <xdr:pic>
      <xdr:nvPicPr>
        <xdr:cNvPr id="12" name="Grafik 11">
          <a:extLst>
            <a:ext uri="{FF2B5EF4-FFF2-40B4-BE49-F238E27FC236}">
              <a16:creationId xmlns:a16="http://schemas.microsoft.com/office/drawing/2014/main" id="{93874C5C-AF7C-C04B-F4D7-152BBD6990F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49192" y="14887572"/>
          <a:ext cx="1270350" cy="1585916"/>
        </a:xfrm>
        <a:prstGeom prst="rect">
          <a:avLst/>
        </a:prstGeom>
        <a:solidFill>
          <a:schemeClr val="bg1"/>
        </a:solidFill>
        <a:ln>
          <a:noFill/>
        </a:ln>
      </xdr:spPr>
    </xdr:pic>
    <xdr:clientData/>
  </xdr:twoCellAnchor>
  <xdr:twoCellAnchor>
    <xdr:from>
      <xdr:col>15</xdr:col>
      <xdr:colOff>666746</xdr:colOff>
      <xdr:row>129</xdr:row>
      <xdr:rowOff>99993</xdr:rowOff>
    </xdr:from>
    <xdr:to>
      <xdr:col>17</xdr:col>
      <xdr:colOff>309634</xdr:colOff>
      <xdr:row>142</xdr:row>
      <xdr:rowOff>15955</xdr:rowOff>
    </xdr:to>
    <xdr:pic>
      <xdr:nvPicPr>
        <xdr:cNvPr id="14" name="Grafik 13">
          <a:extLst>
            <a:ext uri="{FF2B5EF4-FFF2-40B4-BE49-F238E27FC236}">
              <a16:creationId xmlns:a16="http://schemas.microsoft.com/office/drawing/2014/main" id="{B9126BAB-0913-D8BF-79A5-E25417A9A4C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611346" y="14882793"/>
          <a:ext cx="1271663" cy="1587600"/>
        </a:xfrm>
        <a:prstGeom prst="rect">
          <a:avLst/>
        </a:prstGeom>
        <a:solidFill>
          <a:schemeClr val="bg1"/>
        </a:solidFill>
        <a:ln>
          <a:noFill/>
        </a:ln>
      </xdr:spPr>
    </xdr:pic>
    <xdr:clientData/>
  </xdr:twoCellAnchor>
  <xdr:twoCellAnchor>
    <xdr:from>
      <xdr:col>20</xdr:col>
      <xdr:colOff>195252</xdr:colOff>
      <xdr:row>3</xdr:row>
      <xdr:rowOff>61906</xdr:rowOff>
    </xdr:from>
    <xdr:to>
      <xdr:col>22</xdr:col>
      <xdr:colOff>633418</xdr:colOff>
      <xdr:row>14</xdr:row>
      <xdr:rowOff>80570</xdr:rowOff>
    </xdr:to>
    <xdr:pic>
      <xdr:nvPicPr>
        <xdr:cNvPr id="17" name="Grafik 16">
          <a:extLst>
            <a:ext uri="{FF2B5EF4-FFF2-40B4-BE49-F238E27FC236}">
              <a16:creationId xmlns:a16="http://schemas.microsoft.com/office/drawing/2014/main" id="{83682B3E-FFE3-3C5E-FB1F-173C6479C08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325465" y="461956"/>
          <a:ext cx="2066941" cy="1485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811890</xdr:colOff>
      <xdr:row>19</xdr:row>
      <xdr:rowOff>4773</xdr:rowOff>
    </xdr:from>
    <xdr:to>
      <xdr:col>23</xdr:col>
      <xdr:colOff>4736</xdr:colOff>
      <xdr:row>54</xdr:row>
      <xdr:rowOff>38117</xdr:rowOff>
    </xdr:to>
    <xdr:pic>
      <xdr:nvPicPr>
        <xdr:cNvPr id="4" name="Grafik 3">
          <a:extLst>
            <a:ext uri="{FF2B5EF4-FFF2-40B4-BE49-F238E27FC236}">
              <a16:creationId xmlns:a16="http://schemas.microsoft.com/office/drawing/2014/main" id="{70F606D6-E246-6B27-F043-46DE7D5153D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127715" y="2538423"/>
          <a:ext cx="2445634" cy="4533906"/>
        </a:xfrm>
        <a:prstGeom prst="rect">
          <a:avLst/>
        </a:prstGeom>
      </xdr:spPr>
    </xdr:pic>
    <xdr:clientData/>
  </xdr:twoCellAnchor>
  <xdr:twoCellAnchor editAs="oneCell">
    <xdr:from>
      <xdr:col>19</xdr:col>
      <xdr:colOff>85724</xdr:colOff>
      <xdr:row>73</xdr:row>
      <xdr:rowOff>90484</xdr:rowOff>
    </xdr:from>
    <xdr:to>
      <xdr:col>23</xdr:col>
      <xdr:colOff>740726</xdr:colOff>
      <xdr:row>119</xdr:row>
      <xdr:rowOff>57146</xdr:rowOff>
    </xdr:to>
    <xdr:pic>
      <xdr:nvPicPr>
        <xdr:cNvPr id="6" name="Grafik 5">
          <a:extLst>
            <a:ext uri="{FF2B5EF4-FFF2-40B4-BE49-F238E27FC236}">
              <a16:creationId xmlns:a16="http://schemas.microsoft.com/office/drawing/2014/main" id="{05130A3A-A351-4ECA-A8F2-E2B988DDF81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401549" y="9958384"/>
          <a:ext cx="3912552" cy="5881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476256</xdr:colOff>
      <xdr:row>64</xdr:row>
      <xdr:rowOff>104786</xdr:rowOff>
    </xdr:from>
    <xdr:to>
      <xdr:col>23</xdr:col>
      <xdr:colOff>458706</xdr:colOff>
      <xdr:row>66</xdr:row>
      <xdr:rowOff>109482</xdr:rowOff>
    </xdr:to>
    <xdr:pic>
      <xdr:nvPicPr>
        <xdr:cNvPr id="2" name="Grafik 1">
          <a:extLst>
            <a:ext uri="{FF2B5EF4-FFF2-40B4-BE49-F238E27FC236}">
              <a16:creationId xmlns:a16="http://schemas.microsoft.com/office/drawing/2014/main" id="{7ED4FEAE-0CC2-420A-8ECE-C7737D20A0DC}"/>
            </a:ext>
          </a:extLst>
        </xdr:cNvPr>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92081" y="8772536"/>
          <a:ext cx="3240000" cy="27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138127</xdr:colOff>
      <xdr:row>106</xdr:row>
      <xdr:rowOff>19043</xdr:rowOff>
    </xdr:from>
    <xdr:to>
      <xdr:col>17</xdr:col>
      <xdr:colOff>664292</xdr:colOff>
      <xdr:row>125</xdr:row>
      <xdr:rowOff>32573</xdr:rowOff>
    </xdr:to>
    <xdr:pic>
      <xdr:nvPicPr>
        <xdr:cNvPr id="8" name="Grafik 7">
          <a:extLst>
            <a:ext uri="{FF2B5EF4-FFF2-40B4-BE49-F238E27FC236}">
              <a16:creationId xmlns:a16="http://schemas.microsoft.com/office/drawing/2014/main" id="{609673CE-F721-16BA-4047-D1E5B7CAC9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948877" y="14030318"/>
          <a:ext cx="2154940" cy="2456693"/>
        </a:xfrm>
        <a:prstGeom prst="rect">
          <a:avLst/>
        </a:prstGeom>
      </xdr:spPr>
    </xdr:pic>
    <xdr:clientData/>
  </xdr:twoCellAnchor>
  <xdr:twoCellAnchor editAs="oneCell">
    <xdr:from>
      <xdr:col>25</xdr:col>
      <xdr:colOff>416668</xdr:colOff>
      <xdr:row>30</xdr:row>
      <xdr:rowOff>40482</xdr:rowOff>
    </xdr:from>
    <xdr:to>
      <xdr:col>29</xdr:col>
      <xdr:colOff>399118</xdr:colOff>
      <xdr:row>55</xdr:row>
      <xdr:rowOff>88772</xdr:rowOff>
    </xdr:to>
    <xdr:pic>
      <xdr:nvPicPr>
        <xdr:cNvPr id="11" name="Grafik 10">
          <a:extLst>
            <a:ext uri="{FF2B5EF4-FFF2-40B4-BE49-F238E27FC236}">
              <a16:creationId xmlns:a16="http://schemas.microsoft.com/office/drawing/2014/main" id="{6BCA76BE-B414-2744-65A4-0D25F10709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866343" y="4040982"/>
          <a:ext cx="3240000" cy="3262978"/>
        </a:xfrm>
        <a:prstGeom prst="rect">
          <a:avLst/>
        </a:prstGeom>
      </xdr:spPr>
    </xdr:pic>
    <xdr:clientData/>
  </xdr:twoCellAnchor>
  <xdr:twoCellAnchor editAs="oneCell">
    <xdr:from>
      <xdr:col>25</xdr:col>
      <xdr:colOff>395250</xdr:colOff>
      <xdr:row>60</xdr:row>
      <xdr:rowOff>49980</xdr:rowOff>
    </xdr:from>
    <xdr:to>
      <xdr:col>29</xdr:col>
      <xdr:colOff>377700</xdr:colOff>
      <xdr:row>85</xdr:row>
      <xdr:rowOff>91127</xdr:rowOff>
    </xdr:to>
    <xdr:pic>
      <xdr:nvPicPr>
        <xdr:cNvPr id="22" name="Grafik 21">
          <a:extLst>
            <a:ext uri="{FF2B5EF4-FFF2-40B4-BE49-F238E27FC236}">
              <a16:creationId xmlns:a16="http://schemas.microsoft.com/office/drawing/2014/main" id="{D1666081-4CB4-7F67-A60F-7500D21DABA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844925" y="8050980"/>
          <a:ext cx="3240000" cy="3255835"/>
        </a:xfrm>
        <a:prstGeom prst="rect">
          <a:avLst/>
        </a:prstGeom>
      </xdr:spPr>
    </xdr:pic>
    <xdr:clientData/>
  </xdr:twoCellAnchor>
  <xdr:twoCellAnchor editAs="oneCell">
    <xdr:from>
      <xdr:col>25</xdr:col>
      <xdr:colOff>314304</xdr:colOff>
      <xdr:row>90</xdr:row>
      <xdr:rowOff>83388</xdr:rowOff>
    </xdr:from>
    <xdr:to>
      <xdr:col>29</xdr:col>
      <xdr:colOff>495804</xdr:colOff>
      <xdr:row>117</xdr:row>
      <xdr:rowOff>124299</xdr:rowOff>
    </xdr:to>
    <xdr:pic>
      <xdr:nvPicPr>
        <xdr:cNvPr id="28" name="Grafik 27">
          <a:extLst>
            <a:ext uri="{FF2B5EF4-FFF2-40B4-BE49-F238E27FC236}">
              <a16:creationId xmlns:a16="http://schemas.microsoft.com/office/drawing/2014/main" id="{ED3FD057-6C69-9E21-590F-E3FDE3D7A89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763979" y="12037263"/>
          <a:ext cx="3439050" cy="3512774"/>
        </a:xfrm>
        <a:prstGeom prst="rect">
          <a:avLst/>
        </a:prstGeom>
      </xdr:spPr>
    </xdr:pic>
    <xdr:clientData/>
  </xdr:twoCellAnchor>
  <xdr:twoCellAnchor editAs="oneCell">
    <xdr:from>
      <xdr:col>25</xdr:col>
      <xdr:colOff>147584</xdr:colOff>
      <xdr:row>4</xdr:row>
      <xdr:rowOff>19024</xdr:rowOff>
    </xdr:from>
    <xdr:to>
      <xdr:col>29</xdr:col>
      <xdr:colOff>665737</xdr:colOff>
      <xdr:row>22</xdr:row>
      <xdr:rowOff>95250</xdr:rowOff>
    </xdr:to>
    <xdr:pic>
      <xdr:nvPicPr>
        <xdr:cNvPr id="18" name="Grafik 17">
          <a:extLst>
            <a:ext uri="{FF2B5EF4-FFF2-40B4-BE49-F238E27FC236}">
              <a16:creationId xmlns:a16="http://schemas.microsoft.com/office/drawing/2014/main" id="{26E0AD14-B1CC-FC39-83B4-ED2AE5EFA01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597259" y="552424"/>
          <a:ext cx="3775703" cy="2390801"/>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523885</xdr:colOff>
      <xdr:row>4</xdr:row>
      <xdr:rowOff>9528</xdr:rowOff>
    </xdr:from>
    <xdr:to>
      <xdr:col>36</xdr:col>
      <xdr:colOff>659145</xdr:colOff>
      <xdr:row>62</xdr:row>
      <xdr:rowOff>39453</xdr:rowOff>
    </xdr:to>
    <xdr:pic>
      <xdr:nvPicPr>
        <xdr:cNvPr id="29" name="Grafik 28">
          <a:extLst>
            <a:ext uri="{FF2B5EF4-FFF2-40B4-BE49-F238E27FC236}">
              <a16:creationId xmlns:a16="http://schemas.microsoft.com/office/drawing/2014/main" id="{C1D5D158-88F1-4C11-ABCC-C65371BB1F8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1045498" y="542928"/>
          <a:ext cx="5021585" cy="74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542919</xdr:colOff>
      <xdr:row>61</xdr:row>
      <xdr:rowOff>57160</xdr:rowOff>
    </xdr:from>
    <xdr:to>
      <xdr:col>36</xdr:col>
      <xdr:colOff>659494</xdr:colOff>
      <xdr:row>119</xdr:row>
      <xdr:rowOff>87085</xdr:rowOff>
    </xdr:to>
    <xdr:pic>
      <xdr:nvPicPr>
        <xdr:cNvPr id="31" name="Grafik 30">
          <a:extLst>
            <a:ext uri="{FF2B5EF4-FFF2-40B4-BE49-F238E27FC236}">
              <a16:creationId xmlns:a16="http://schemas.microsoft.com/office/drawing/2014/main" id="{85F17523-EE3A-4E9F-807F-3DC3C276753F}"/>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1064532" y="8191510"/>
          <a:ext cx="5002900" cy="74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47634</xdr:rowOff>
    </xdr:from>
    <xdr:to>
      <xdr:col>2</xdr:col>
      <xdr:colOff>1981199</xdr:colOff>
      <xdr:row>71</xdr:row>
      <xdr:rowOff>78205</xdr:rowOff>
    </xdr:to>
    <xdr:pic>
      <xdr:nvPicPr>
        <xdr:cNvPr id="7" name="Grafik 6">
          <a:extLst>
            <a:ext uri="{FF2B5EF4-FFF2-40B4-BE49-F238E27FC236}">
              <a16:creationId xmlns:a16="http://schemas.microsoft.com/office/drawing/2014/main" id="{4AB11C79-6AF6-491B-BEE5-047FAFCDCF8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913" y="7381884"/>
          <a:ext cx="2605086" cy="2087971"/>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zcs.ch" TargetMode="External"/><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zcs.ch" TargetMode="External"/><Relationship Id="rId1" Type="http://schemas.openxmlformats.org/officeDocument/2006/relationships/hyperlink" Target="http://www.zcs.ch/"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AX104"/>
  <sheetViews>
    <sheetView tabSelected="1" zoomScaleNormal="100" workbookViewId="0">
      <selection activeCell="C40" sqref="C40"/>
    </sheetView>
  </sheetViews>
  <sheetFormatPr baseColWidth="10" defaultColWidth="11.3984375" defaultRowHeight="10.5" customHeight="1" x14ac:dyDescent="0.35"/>
  <cols>
    <col min="1" max="1" width="0.86328125" style="2" customWidth="1"/>
    <col min="2" max="5" width="11.06640625" style="42" customWidth="1"/>
    <col min="6" max="12" width="6.19921875" style="42" customWidth="1"/>
    <col min="13" max="13" width="0.9296875" style="42" customWidth="1"/>
    <col min="14" max="14" width="2.59765625" style="42" customWidth="1"/>
    <col min="15" max="22" width="11.06640625" style="42" customWidth="1"/>
    <col min="23" max="23" width="2.59765625" style="42" customWidth="1"/>
    <col min="24" max="30" width="11.06640625" style="42" customWidth="1"/>
    <col min="31" max="36" width="11.3984375" style="42" hidden="1" customWidth="1"/>
    <col min="37" max="37" width="11.3984375" style="2" hidden="1" customWidth="1"/>
    <col min="38" max="43" width="11.3984375" style="42" hidden="1" customWidth="1"/>
    <col min="44" max="50" width="11.3984375" style="2" hidden="1" customWidth="1"/>
    <col min="51" max="16384" width="11.3984375" style="2"/>
  </cols>
  <sheetData>
    <row r="1" spans="1:50" s="42" customFormat="1" ht="10.5" customHeight="1" x14ac:dyDescent="0.35">
      <c r="AE1" s="32">
        <f>VLOOKUP(B36,B33:D35,3)</f>
        <v>1</v>
      </c>
      <c r="AF1" s="45"/>
      <c r="AG1" s="32"/>
      <c r="AH1" s="32"/>
      <c r="AJ1" s="45"/>
      <c r="AL1" s="32"/>
      <c r="AM1" s="45"/>
      <c r="AN1" s="32"/>
      <c r="AO1" s="32"/>
      <c r="AQ1" s="45"/>
      <c r="AS1" s="32"/>
      <c r="AT1" s="45"/>
      <c r="AU1" s="32"/>
      <c r="AV1" s="32"/>
      <c r="AX1" s="45"/>
    </row>
    <row r="2" spans="1:50" s="42" customFormat="1" ht="10.5" customHeight="1" x14ac:dyDescent="0.35">
      <c r="A2" s="42" t="s">
        <v>90</v>
      </c>
      <c r="B2" s="253" t="str">
        <f>CONCATENATE(VLOOKUP(231,T!A2:'T'!K2000,Order!B31+1)," ",VLOOKUP(230,T!A2:'T'!K2000,Order!B31+1))</f>
        <v>The AHH software contains 15 applications, including the GHH application. With the software AHH you can calculate and display all processes with humid air in the Mollier-HX-Diagram. The GHH software can be used to calculate and display the cooling process for any gases and vapors in the Mollier-TX-Diagram. This software is aimed at process engineers who want to condense and recover environmentally harmful vapors. There is tax-free software, where you have to find frequently, that if something does not cost anything, this is also not a lot of value. There is software, which costs only half of it, where you have to say, that this software perhaps offers even half the possibilities only. There is our software, which is used by more than 8.000 engineers worldwide. It can be selected between single licenses and network licenses. In which the price for network licenses depends on how many users want to use the software at the same time at any workplace in the entire network.</v>
      </c>
      <c r="C2" s="254"/>
      <c r="D2" s="254"/>
      <c r="E2" s="254"/>
      <c r="F2" s="254"/>
      <c r="G2" s="254"/>
      <c r="H2" s="254"/>
      <c r="I2" s="254"/>
      <c r="J2" s="254"/>
      <c r="K2" s="254"/>
      <c r="L2" s="255"/>
      <c r="AB2" s="32"/>
      <c r="AE2" s="45" t="s">
        <v>953</v>
      </c>
      <c r="AF2" s="45" t="s">
        <v>954</v>
      </c>
      <c r="AG2" s="45" t="s">
        <v>955</v>
      </c>
      <c r="AH2" s="45" t="s">
        <v>956</v>
      </c>
      <c r="AI2" s="45" t="s">
        <v>957</v>
      </c>
      <c r="AJ2" s="45" t="s">
        <v>958</v>
      </c>
      <c r="AL2" s="45" t="s">
        <v>953</v>
      </c>
      <c r="AM2" s="45" t="s">
        <v>954</v>
      </c>
      <c r="AN2" s="45" t="s">
        <v>955</v>
      </c>
      <c r="AO2" s="45" t="s">
        <v>956</v>
      </c>
      <c r="AP2" s="45" t="s">
        <v>957</v>
      </c>
      <c r="AQ2" s="45" t="s">
        <v>958</v>
      </c>
      <c r="AS2" s="45" t="s">
        <v>953</v>
      </c>
      <c r="AT2" s="45" t="s">
        <v>954</v>
      </c>
      <c r="AU2" s="45" t="s">
        <v>955</v>
      </c>
      <c r="AV2" s="45" t="s">
        <v>956</v>
      </c>
      <c r="AW2" s="45" t="s">
        <v>957</v>
      </c>
      <c r="AX2" s="45" t="s">
        <v>958</v>
      </c>
    </row>
    <row r="3" spans="1:50" s="42" customFormat="1" ht="10.5" customHeight="1" x14ac:dyDescent="0.35">
      <c r="B3" s="256"/>
      <c r="C3" s="257"/>
      <c r="D3" s="257"/>
      <c r="E3" s="257"/>
      <c r="F3" s="257"/>
      <c r="G3" s="257"/>
      <c r="H3" s="257"/>
      <c r="I3" s="257"/>
      <c r="J3" s="257"/>
      <c r="K3" s="257"/>
      <c r="L3" s="258"/>
      <c r="AB3" s="32"/>
    </row>
    <row r="4" spans="1:50" s="42" customFormat="1" ht="10.5" customHeight="1" x14ac:dyDescent="0.35">
      <c r="B4" s="256"/>
      <c r="C4" s="257"/>
      <c r="D4" s="257"/>
      <c r="E4" s="257"/>
      <c r="F4" s="257"/>
      <c r="G4" s="257"/>
      <c r="H4" s="257"/>
      <c r="I4" s="257"/>
      <c r="J4" s="257"/>
      <c r="K4" s="257"/>
      <c r="L4" s="258"/>
      <c r="AA4" s="32"/>
      <c r="AB4" s="32"/>
      <c r="AD4" s="32"/>
      <c r="AE4" s="82">
        <f>AE1*3.16*125</f>
        <v>395</v>
      </c>
      <c r="AF4" s="82">
        <f>AE4*(0.25+(38.65/AE4))</f>
        <v>137.4</v>
      </c>
      <c r="AG4" s="82">
        <f t="shared" ref="AG4:AG5" si="0">1.5*AF4</f>
        <v>206.10000000000002</v>
      </c>
      <c r="AH4" s="82">
        <f>POWER('High-language applications'!D4,0.7)</f>
        <v>0</v>
      </c>
      <c r="AI4" s="82">
        <f>POWER('High-language applications'!E4,0.7)</f>
        <v>0</v>
      </c>
      <c r="AJ4" s="82">
        <f>POWER('High-language applications'!F4,0.7)</f>
        <v>0</v>
      </c>
      <c r="AL4" s="84">
        <f>AE1*11.96*125</f>
        <v>1495</v>
      </c>
      <c r="AM4" s="84">
        <f t="shared" ref="AM4:AM28" si="1">AL4*(0.25+(38.65/AL4))</f>
        <v>412.40000000000003</v>
      </c>
      <c r="AN4" s="84">
        <f t="shared" ref="AN4" si="2">1.5*AM4</f>
        <v>618.6</v>
      </c>
      <c r="AO4" s="84">
        <f>POWER('Excel applications 1'!D4,0.7)</f>
        <v>0</v>
      </c>
      <c r="AP4" s="84">
        <f>POWER('Excel applications 1'!E4,0.7)</f>
        <v>0</v>
      </c>
      <c r="AQ4" s="84">
        <f>POWER('Excel applications 1'!F4,0.7)</f>
        <v>0</v>
      </c>
      <c r="AS4" s="82">
        <f>AE1*11.96*125</f>
        <v>1495</v>
      </c>
      <c r="AT4" s="82">
        <f t="shared" ref="AT4:AT49" si="3">AS4*(0.25+(38.65/AS4))</f>
        <v>412.40000000000003</v>
      </c>
      <c r="AU4" s="82">
        <f t="shared" ref="AU4:AU7" si="4">1.5*AT4</f>
        <v>618.6</v>
      </c>
      <c r="AV4" s="82">
        <f>POWER('Excel applications 2'!D4,0.7)</f>
        <v>0</v>
      </c>
      <c r="AW4" s="82">
        <f>POWER('Excel applications 2'!E4,0.7)</f>
        <v>0</v>
      </c>
      <c r="AX4" s="82">
        <f>POWER('Excel applications 2'!F4,0.7)</f>
        <v>0</v>
      </c>
    </row>
    <row r="5" spans="1:50" s="42" customFormat="1" ht="10.5" customHeight="1" x14ac:dyDescent="0.35">
      <c r="B5" s="256"/>
      <c r="C5" s="257"/>
      <c r="D5" s="257"/>
      <c r="E5" s="257"/>
      <c r="F5" s="257"/>
      <c r="G5" s="257"/>
      <c r="H5" s="257"/>
      <c r="I5" s="257"/>
      <c r="J5" s="257"/>
      <c r="K5" s="257"/>
      <c r="L5" s="258"/>
      <c r="AA5" s="32"/>
      <c r="AB5" s="32"/>
      <c r="AD5" s="32"/>
      <c r="AE5" s="32">
        <f>AE1*5.56*125</f>
        <v>695</v>
      </c>
      <c r="AF5" s="32">
        <f>AE5*(0.25+(38.65/AE5))</f>
        <v>212.39999999999998</v>
      </c>
      <c r="AG5" s="32">
        <f t="shared" si="0"/>
        <v>318.59999999999997</v>
      </c>
      <c r="AH5" s="32">
        <f>POWER('High-language applications'!D5,0.7)</f>
        <v>0</v>
      </c>
      <c r="AI5" s="32">
        <f>POWER('High-language applications'!E5,0.7)</f>
        <v>0</v>
      </c>
      <c r="AJ5" s="32">
        <f>POWER('High-language applications'!F5,0.7)</f>
        <v>0</v>
      </c>
      <c r="AL5" s="84">
        <f>AE1*23.96*125</f>
        <v>2995</v>
      </c>
      <c r="AM5" s="83">
        <f t="shared" si="1"/>
        <v>787.4</v>
      </c>
      <c r="AN5" s="84">
        <f t="shared" ref="AN5" si="5">1.5*AM5</f>
        <v>1181.0999999999999</v>
      </c>
      <c r="AO5" s="84">
        <f>POWER('Excel applications 1'!D5,0.7)</f>
        <v>0</v>
      </c>
      <c r="AP5" s="84">
        <f>POWER('Excel applications 1'!E5,0.7)</f>
        <v>0</v>
      </c>
      <c r="AQ5" s="84">
        <f>POWER('Excel applications 1'!F5,0.7)</f>
        <v>0</v>
      </c>
      <c r="AS5" s="32">
        <f>AE1*23.96*125</f>
        <v>2995</v>
      </c>
      <c r="AT5" s="32">
        <f t="shared" si="3"/>
        <v>787.4</v>
      </c>
      <c r="AU5" s="32">
        <f t="shared" si="4"/>
        <v>1181.0999999999999</v>
      </c>
      <c r="AV5" s="32">
        <f>POWER('Excel applications 2'!D5,0.7)</f>
        <v>0</v>
      </c>
      <c r="AW5" s="32">
        <f>POWER('Excel applications 2'!E5,0.7)</f>
        <v>0</v>
      </c>
      <c r="AX5" s="32">
        <f>POWER('Excel applications 2'!F5,0.7)</f>
        <v>0</v>
      </c>
    </row>
    <row r="6" spans="1:50" s="42" customFormat="1" ht="10.5" customHeight="1" x14ac:dyDescent="0.35">
      <c r="B6" s="256"/>
      <c r="C6" s="257"/>
      <c r="D6" s="257"/>
      <c r="E6" s="257"/>
      <c r="F6" s="257"/>
      <c r="G6" s="257"/>
      <c r="H6" s="257"/>
      <c r="I6" s="257"/>
      <c r="J6" s="257"/>
      <c r="K6" s="257"/>
      <c r="L6" s="258"/>
      <c r="AA6" s="32"/>
      <c r="AB6" s="32"/>
      <c r="AD6" s="32"/>
      <c r="AE6" s="32">
        <f>AE1*7.96*125</f>
        <v>995</v>
      </c>
      <c r="AF6" s="83">
        <f>AE6*(0.25+(38.65/AE6))</f>
        <v>287.40000000000003</v>
      </c>
      <c r="AG6" s="83">
        <f>1.5*AF6</f>
        <v>431.1</v>
      </c>
      <c r="AH6" s="83">
        <f>POWER('High-language applications'!D6,0.7)</f>
        <v>0</v>
      </c>
      <c r="AI6" s="83">
        <f>POWER('High-language applications'!E6,0.7)</f>
        <v>0</v>
      </c>
      <c r="AJ6" s="83">
        <f>POWER('High-language applications'!F6,0.7)</f>
        <v>0</v>
      </c>
      <c r="AL6" s="84">
        <f>AE1*11.96*125</f>
        <v>1495</v>
      </c>
      <c r="AM6" s="83">
        <f t="shared" si="1"/>
        <v>412.40000000000003</v>
      </c>
      <c r="AN6" s="84">
        <f t="shared" ref="AN6" si="6">1.5*AM6</f>
        <v>618.6</v>
      </c>
      <c r="AO6" s="84">
        <f>POWER('Excel applications 1'!D6,0.7)</f>
        <v>0</v>
      </c>
      <c r="AP6" s="84">
        <f>POWER('Excel applications 1'!E6,0.7)</f>
        <v>0</v>
      </c>
      <c r="AQ6" s="84">
        <f>POWER('Excel applications 1'!F6,0.7)</f>
        <v>0</v>
      </c>
      <c r="AS6" s="83">
        <f>AE1*11.96*125</f>
        <v>1495</v>
      </c>
      <c r="AT6" s="83">
        <f t="shared" si="3"/>
        <v>412.40000000000003</v>
      </c>
      <c r="AU6" s="85">
        <f t="shared" si="4"/>
        <v>618.6</v>
      </c>
      <c r="AV6" s="85">
        <f>POWER('Excel applications 2'!D6,0.7)</f>
        <v>0</v>
      </c>
      <c r="AW6" s="85">
        <f>POWER('Excel applications 2'!E6,0.7)</f>
        <v>0</v>
      </c>
      <c r="AX6" s="85">
        <f>POWER('Excel applications 2'!F6,0.7)</f>
        <v>0</v>
      </c>
    </row>
    <row r="7" spans="1:50" s="42" customFormat="1" ht="10.5" customHeight="1" x14ac:dyDescent="0.35">
      <c r="B7" s="256"/>
      <c r="C7" s="257"/>
      <c r="D7" s="257"/>
      <c r="E7" s="257"/>
      <c r="F7" s="257"/>
      <c r="G7" s="257"/>
      <c r="H7" s="257"/>
      <c r="I7" s="257"/>
      <c r="J7" s="257"/>
      <c r="K7" s="257"/>
      <c r="L7" s="258"/>
      <c r="AA7" s="32"/>
      <c r="AB7" s="32"/>
      <c r="AD7" s="32"/>
      <c r="AE7" s="84">
        <f>AE1*23.92*125</f>
        <v>2990</v>
      </c>
      <c r="AF7" s="82">
        <f>AE7*(0.25+(38.65/AE7))</f>
        <v>786.15</v>
      </c>
      <c r="AG7" s="84">
        <f>1.5*AF7</f>
        <v>1179.2249999999999</v>
      </c>
      <c r="AH7" s="84">
        <f>POWER('High-language applications'!D7,0.7)</f>
        <v>0</v>
      </c>
      <c r="AI7" s="84">
        <f>POWER('High-language applications'!E7,0.7)</f>
        <v>0</v>
      </c>
      <c r="AJ7" s="84">
        <f>POWER('High-language applications'!F7,0.7)</f>
        <v>0</v>
      </c>
      <c r="AL7" s="32">
        <f>AE1*11.96*125</f>
        <v>1495</v>
      </c>
      <c r="AM7" s="82">
        <f t="shared" si="1"/>
        <v>412.40000000000003</v>
      </c>
      <c r="AN7" s="32">
        <f t="shared" ref="AN7:AN9" si="7">1.5*AM7</f>
        <v>618.6</v>
      </c>
      <c r="AO7" s="82">
        <f>POWER('Excel applications 1'!D7,0.7)</f>
        <v>0</v>
      </c>
      <c r="AP7" s="82">
        <f>POWER('Excel applications 1'!E7,0.7)</f>
        <v>0</v>
      </c>
      <c r="AQ7" s="82">
        <f>POWER('Excel applications 1'!F7,0.7)</f>
        <v>0</v>
      </c>
      <c r="AS7" s="32">
        <f>AE1*11.96*125</f>
        <v>1495</v>
      </c>
      <c r="AT7" s="32">
        <f t="shared" si="3"/>
        <v>412.40000000000003</v>
      </c>
      <c r="AU7" s="86">
        <f t="shared" si="4"/>
        <v>618.6</v>
      </c>
      <c r="AV7" s="86">
        <f>POWER('Excel applications 2'!D7,0.7)</f>
        <v>0</v>
      </c>
      <c r="AW7" s="86">
        <f>POWER('Excel applications 2'!E7,0.7)</f>
        <v>0</v>
      </c>
      <c r="AX7" s="86">
        <f>POWER('Excel applications 2'!F7,0.7)</f>
        <v>0</v>
      </c>
    </row>
    <row r="8" spans="1:50" s="42" customFormat="1" ht="10.5" customHeight="1" x14ac:dyDescent="0.35">
      <c r="B8" s="256"/>
      <c r="C8" s="257"/>
      <c r="D8" s="257"/>
      <c r="E8" s="257"/>
      <c r="F8" s="257"/>
      <c r="G8" s="257"/>
      <c r="H8" s="257"/>
      <c r="I8" s="257"/>
      <c r="J8" s="257"/>
      <c r="K8" s="257"/>
      <c r="L8" s="258"/>
      <c r="AB8" s="32"/>
      <c r="AD8" s="32"/>
      <c r="AE8" s="84">
        <f>AE1*23.92*125</f>
        <v>2990</v>
      </c>
      <c r="AF8" s="82">
        <f>AE8*(0.25+(38.65/AE8))</f>
        <v>786.15</v>
      </c>
      <c r="AG8" s="84">
        <f>1.5*AF8</f>
        <v>1179.2249999999999</v>
      </c>
      <c r="AH8" s="84">
        <f>POWER('High-language applications'!D8,0.7)</f>
        <v>0</v>
      </c>
      <c r="AI8" s="84">
        <f>POWER('High-language applications'!E8,0.7)</f>
        <v>0</v>
      </c>
      <c r="AJ8" s="84">
        <f>POWER('High-language applications'!F8,0.7)</f>
        <v>0</v>
      </c>
      <c r="AL8" s="32">
        <f>AE1*11.96*125</f>
        <v>1495</v>
      </c>
      <c r="AM8" s="32">
        <f t="shared" si="1"/>
        <v>412.40000000000003</v>
      </c>
      <c r="AN8" s="32">
        <f t="shared" si="7"/>
        <v>618.6</v>
      </c>
      <c r="AO8" s="32">
        <f>POWER('Excel applications 1'!D8,0.7)</f>
        <v>0</v>
      </c>
      <c r="AP8" s="32">
        <f>POWER('Excel applications 1'!E8,0.7)</f>
        <v>0</v>
      </c>
      <c r="AQ8" s="32">
        <f>POWER('Excel applications 1'!F8,0.7)</f>
        <v>0</v>
      </c>
      <c r="AS8" s="32">
        <f>AE1*11.96*125</f>
        <v>1495</v>
      </c>
      <c r="AT8" s="32">
        <f t="shared" si="3"/>
        <v>412.40000000000003</v>
      </c>
      <c r="AU8" s="32">
        <f t="shared" ref="AU8" si="8">1.5*AT8</f>
        <v>618.6</v>
      </c>
      <c r="AV8" s="32">
        <f>POWER('Excel applications 2'!D8,0.7)</f>
        <v>0</v>
      </c>
      <c r="AW8" s="32">
        <f>POWER('Excel applications 2'!E8,0.7)</f>
        <v>0</v>
      </c>
      <c r="AX8" s="32">
        <f>POWER('Excel applications 2'!F8,0.7)</f>
        <v>0</v>
      </c>
    </row>
    <row r="9" spans="1:50" s="42" customFormat="1" ht="10.5" customHeight="1" x14ac:dyDescent="0.35">
      <c r="B9" s="256"/>
      <c r="C9" s="257"/>
      <c r="D9" s="257"/>
      <c r="E9" s="257"/>
      <c r="F9" s="257"/>
      <c r="G9" s="257"/>
      <c r="H9" s="257"/>
      <c r="I9" s="257"/>
      <c r="J9" s="257"/>
      <c r="K9" s="257"/>
      <c r="L9" s="258"/>
      <c r="AC9" s="32"/>
      <c r="AD9" s="32"/>
      <c r="AE9" s="82"/>
      <c r="AF9" s="82"/>
      <c r="AG9" s="82"/>
      <c r="AH9" s="82"/>
      <c r="AI9" s="82"/>
      <c r="AJ9" s="82"/>
      <c r="AL9" s="32">
        <f>AE1*11.96*125</f>
        <v>1495</v>
      </c>
      <c r="AM9" s="32">
        <f t="shared" si="1"/>
        <v>412.40000000000003</v>
      </c>
      <c r="AN9" s="32">
        <f t="shared" si="7"/>
        <v>618.6</v>
      </c>
      <c r="AO9" s="32">
        <f>POWER('Excel applications 1'!D9,0.7)</f>
        <v>0</v>
      </c>
      <c r="AP9" s="32">
        <f>POWER('Excel applications 1'!E9,0.7)</f>
        <v>0</v>
      </c>
      <c r="AQ9" s="32">
        <f>POWER('Excel applications 1'!F9,0.7)</f>
        <v>0</v>
      </c>
      <c r="AS9" s="32">
        <f>AE1*11.96*125</f>
        <v>1495</v>
      </c>
      <c r="AT9" s="32">
        <f t="shared" si="3"/>
        <v>412.40000000000003</v>
      </c>
      <c r="AU9" s="32">
        <f>1.5*AT9</f>
        <v>618.6</v>
      </c>
      <c r="AV9" s="32">
        <f>POWER('Excel applications 2'!D9,0.7)</f>
        <v>0</v>
      </c>
      <c r="AW9" s="32">
        <f>POWER('Excel applications 2'!E9,0.7)</f>
        <v>0</v>
      </c>
      <c r="AX9" s="32">
        <f>POWER('Excel applications 2'!F9,0.7)</f>
        <v>0</v>
      </c>
    </row>
    <row r="10" spans="1:50" s="42" customFormat="1" ht="10.5" customHeight="1" x14ac:dyDescent="0.35">
      <c r="B10" s="256"/>
      <c r="C10" s="257"/>
      <c r="D10" s="257"/>
      <c r="E10" s="257"/>
      <c r="F10" s="257"/>
      <c r="G10" s="257"/>
      <c r="H10" s="257"/>
      <c r="I10" s="257"/>
      <c r="J10" s="257"/>
      <c r="K10" s="257"/>
      <c r="L10" s="258"/>
      <c r="AC10" s="32"/>
      <c r="AD10" s="32"/>
      <c r="AE10" s="82">
        <f>AE1*23.92*125</f>
        <v>2990</v>
      </c>
      <c r="AF10" s="82">
        <f t="shared" ref="AF10:AF23" si="9">AE10*(0.25+(38.65/AE10))</f>
        <v>786.15</v>
      </c>
      <c r="AG10" s="82">
        <f t="shared" ref="AG10" si="10">1.5*AF10</f>
        <v>1179.2249999999999</v>
      </c>
      <c r="AH10" s="82">
        <f>POWER('High-language applications'!D10,0.7)</f>
        <v>0</v>
      </c>
      <c r="AI10" s="82">
        <f>POWER('High-language applications'!E10,0.7)</f>
        <v>0</v>
      </c>
      <c r="AJ10" s="82">
        <f>POWER('High-language applications'!F10,0.7)</f>
        <v>0</v>
      </c>
      <c r="AL10" s="32">
        <f>AE1*11.96*125</f>
        <v>1495</v>
      </c>
      <c r="AM10" s="32">
        <f t="shared" si="1"/>
        <v>412.40000000000003</v>
      </c>
      <c r="AN10" s="32">
        <f t="shared" ref="AN10:AN11" si="11">1.5*AM10</f>
        <v>618.6</v>
      </c>
      <c r="AO10" s="32">
        <f>POWER('Excel applications 1'!D10,0.7)</f>
        <v>0</v>
      </c>
      <c r="AP10" s="32">
        <f>POWER('Excel applications 1'!E10,0.7)</f>
        <v>0</v>
      </c>
      <c r="AQ10" s="32">
        <f>POWER('Excel applications 1'!F10,0.7)</f>
        <v>0</v>
      </c>
      <c r="AS10" s="32">
        <f>AE1*35.96*125</f>
        <v>4495</v>
      </c>
      <c r="AT10" s="32">
        <f t="shared" si="3"/>
        <v>1162.3999999999999</v>
      </c>
      <c r="AU10" s="32">
        <f>1.5*AT10</f>
        <v>1743.6</v>
      </c>
      <c r="AV10" s="32">
        <f>POWER('Excel applications 2'!D10,0.7)</f>
        <v>0</v>
      </c>
      <c r="AW10" s="32">
        <f>POWER('Excel applications 2'!E10,0.7)</f>
        <v>0</v>
      </c>
      <c r="AX10" s="32">
        <f>POWER('Excel applications 2'!F10,0.7)</f>
        <v>0</v>
      </c>
    </row>
    <row r="11" spans="1:50" s="42" customFormat="1" ht="10.5" customHeight="1" x14ac:dyDescent="0.35">
      <c r="B11" s="123" t="str">
        <f>VLOOKUP(5,T!A2:'T'!K2000,Order!B31+1)</f>
        <v>AHH in high language</v>
      </c>
      <c r="C11" s="124"/>
      <c r="D11" s="124" t="str">
        <f>VLOOKUP(12,T!A2:'T'!K2000,Order!B31+1)</f>
        <v>Mollier-Diagram &amp; Psychrometric-Chart, air processes, meteorological data</v>
      </c>
      <c r="E11" s="124"/>
      <c r="F11" s="124"/>
      <c r="G11" s="124"/>
      <c r="H11" s="124"/>
      <c r="I11" s="124"/>
      <c r="J11" s="124"/>
      <c r="K11" s="124"/>
      <c r="L11" s="240"/>
      <c r="AC11" s="32"/>
      <c r="AD11" s="32"/>
      <c r="AE11" s="32">
        <f>AE1*23.92*125</f>
        <v>2990</v>
      </c>
      <c r="AF11" s="32">
        <f t="shared" si="9"/>
        <v>786.15</v>
      </c>
      <c r="AG11" s="32">
        <f t="shared" ref="AG11" si="12">1.5*AF11</f>
        <v>1179.2249999999999</v>
      </c>
      <c r="AH11" s="32">
        <f>POWER('High-language applications'!D11,0.7)</f>
        <v>0</v>
      </c>
      <c r="AI11" s="32">
        <f>POWER('High-language applications'!E11,0.7)</f>
        <v>0</v>
      </c>
      <c r="AJ11" s="32">
        <f>POWER('High-language applications'!F11,0.7)</f>
        <v>0</v>
      </c>
      <c r="AL11" s="32">
        <f>AE1*11.96*125</f>
        <v>1495</v>
      </c>
      <c r="AM11" s="32">
        <f t="shared" si="1"/>
        <v>412.40000000000003</v>
      </c>
      <c r="AN11" s="32">
        <f t="shared" si="11"/>
        <v>618.6</v>
      </c>
      <c r="AO11" s="32">
        <f>POWER('Excel applications 1'!D11,0.7)</f>
        <v>0</v>
      </c>
      <c r="AP11" s="32">
        <f>POWER('Excel applications 1'!E11,0.7)</f>
        <v>0</v>
      </c>
      <c r="AQ11" s="32">
        <f>POWER('Excel applications 1'!F11,0.7)</f>
        <v>0</v>
      </c>
      <c r="AS11" s="86">
        <f>AE1*11.96*125</f>
        <v>1495</v>
      </c>
      <c r="AT11" s="82">
        <f t="shared" si="3"/>
        <v>412.40000000000003</v>
      </c>
      <c r="AU11" s="86">
        <f>1.5*AT11</f>
        <v>618.6</v>
      </c>
      <c r="AV11" s="86">
        <f>POWER('Excel applications 2'!D11,0.7)</f>
        <v>0</v>
      </c>
      <c r="AW11" s="86">
        <f>POWER('Excel applications 2'!E11,0.7)</f>
        <v>0</v>
      </c>
      <c r="AX11" s="86">
        <f>POWER('Excel applications 2'!F11,0.7)</f>
        <v>0</v>
      </c>
    </row>
    <row r="12" spans="1:50" s="42" customFormat="1" ht="10.5" customHeight="1" x14ac:dyDescent="0.35">
      <c r="B12" s="123" t="str">
        <f>VLOOKUP(204,T!A2:'T'!K2000,Order!B31+1)</f>
        <v>DWT in high language</v>
      </c>
      <c r="C12" s="124"/>
      <c r="D12" s="124" t="str">
        <f>VLOOKUP(184,T!A2:'T'!K2000,Order!B31+1)</f>
        <v>Conversion: Temperature - Rel. Humidity - Abs. Humidity</v>
      </c>
      <c r="E12" s="124"/>
      <c r="F12" s="124"/>
      <c r="G12" s="124"/>
      <c r="H12" s="124"/>
      <c r="I12" s="124"/>
      <c r="J12" s="124"/>
      <c r="K12" s="124"/>
      <c r="L12" s="240"/>
      <c r="AC12" s="32"/>
      <c r="AD12" s="32"/>
      <c r="AE12" s="32">
        <f>AE1*23.92*125</f>
        <v>2990</v>
      </c>
      <c r="AF12" s="32">
        <f t="shared" si="9"/>
        <v>786.15</v>
      </c>
      <c r="AG12" s="32">
        <f t="shared" ref="AG12" si="13">1.5*AF12</f>
        <v>1179.2249999999999</v>
      </c>
      <c r="AH12" s="32">
        <f>POWER('High-language applications'!D12,0.7)</f>
        <v>0</v>
      </c>
      <c r="AI12" s="32">
        <f>POWER('High-language applications'!E12,0.7)</f>
        <v>0</v>
      </c>
      <c r="AJ12" s="32">
        <f>POWER('High-language applications'!F12,0.7)</f>
        <v>0</v>
      </c>
      <c r="AL12" s="32">
        <f>AE1*11.96*125</f>
        <v>1495</v>
      </c>
      <c r="AM12" s="32">
        <f t="shared" si="1"/>
        <v>412.40000000000003</v>
      </c>
      <c r="AN12" s="32">
        <f t="shared" ref="AN12" si="14">1.5*AM12</f>
        <v>618.6</v>
      </c>
      <c r="AO12" s="32">
        <f>POWER('Excel applications 1'!D12,0.7)</f>
        <v>0</v>
      </c>
      <c r="AP12" s="32">
        <f>POWER('Excel applications 1'!E12,0.7)</f>
        <v>0</v>
      </c>
      <c r="AQ12" s="32">
        <f>POWER('Excel applications 1'!F12,0.7)</f>
        <v>0</v>
      </c>
      <c r="AS12" s="32">
        <f>AE1*11.96*125</f>
        <v>1495</v>
      </c>
      <c r="AT12" s="32">
        <f t="shared" si="3"/>
        <v>412.40000000000003</v>
      </c>
      <c r="AU12" s="32">
        <f>1.5*AT12</f>
        <v>618.6</v>
      </c>
      <c r="AV12" s="32">
        <f>POWER('Excel applications 2'!D12,0.7)</f>
        <v>0</v>
      </c>
      <c r="AW12" s="32">
        <f>POWER('Excel applications 2'!E12,0.7)</f>
        <v>0</v>
      </c>
      <c r="AX12" s="32">
        <f>POWER('Excel applications 2'!F12,0.7)</f>
        <v>0</v>
      </c>
    </row>
    <row r="13" spans="1:50" ht="10.5" customHeight="1" x14ac:dyDescent="0.35">
      <c r="B13" s="123" t="str">
        <f>VLOOKUP(6,T!A2:'T'!K2000,Order!B31+1)</f>
        <v>MDI in high language</v>
      </c>
      <c r="C13" s="124"/>
      <c r="D13" s="124" t="str">
        <f>VLOOKUP(13,T!A2:'T'!K2000,Order!B31+1)</f>
        <v>Meteorological data interface, service time selection</v>
      </c>
      <c r="E13" s="124"/>
      <c r="F13" s="124"/>
      <c r="G13" s="124"/>
      <c r="H13" s="124"/>
      <c r="I13" s="124"/>
      <c r="J13" s="124"/>
      <c r="K13" s="124"/>
      <c r="L13" s="248"/>
      <c r="AC13" s="32"/>
      <c r="AD13" s="32"/>
      <c r="AE13" s="83">
        <f>AE1*23.92*125</f>
        <v>2990</v>
      </c>
      <c r="AF13" s="83">
        <f t="shared" si="9"/>
        <v>786.15</v>
      </c>
      <c r="AG13" s="83">
        <f t="shared" ref="AG13" si="15">1.5*AF13</f>
        <v>1179.2249999999999</v>
      </c>
      <c r="AH13" s="83">
        <f>POWER('High-language applications'!D13,0.7)</f>
        <v>0</v>
      </c>
      <c r="AI13" s="83">
        <f>POWER('High-language applications'!E13,0.7)</f>
        <v>0</v>
      </c>
      <c r="AJ13" s="83">
        <f>POWER('High-language applications'!F13,0.7)</f>
        <v>0</v>
      </c>
      <c r="AL13" s="32">
        <f>AE1*11.96*125</f>
        <v>1495</v>
      </c>
      <c r="AM13" s="32">
        <f t="shared" si="1"/>
        <v>412.40000000000003</v>
      </c>
      <c r="AN13" s="32">
        <f t="shared" ref="AN13" si="16">1.5*AM13</f>
        <v>618.6</v>
      </c>
      <c r="AO13" s="32">
        <f>POWER('Excel applications 1'!D13,0.7)</f>
        <v>0</v>
      </c>
      <c r="AP13" s="32">
        <f>POWER('Excel applications 1'!E13,0.7)</f>
        <v>0</v>
      </c>
      <c r="AQ13" s="32">
        <f>POWER('Excel applications 1'!F13,0.7)</f>
        <v>0</v>
      </c>
      <c r="AS13" s="32">
        <f>AE1*11.96*125</f>
        <v>1495</v>
      </c>
      <c r="AT13" s="32">
        <f t="shared" si="3"/>
        <v>412.40000000000003</v>
      </c>
      <c r="AU13" s="32">
        <f t="shared" ref="AU13:AU14" si="17">1.5*AT13</f>
        <v>618.6</v>
      </c>
      <c r="AV13" s="32">
        <f>POWER('Excel applications 2'!D13,0.7)</f>
        <v>0</v>
      </c>
      <c r="AW13" s="32">
        <f>POWER('Excel applications 2'!E13,0.7)</f>
        <v>0</v>
      </c>
      <c r="AX13" s="32">
        <f>POWER('Excel applications 2'!F13,0.7)</f>
        <v>0</v>
      </c>
    </row>
    <row r="14" spans="1:50" ht="10.5" customHeight="1" x14ac:dyDescent="0.35">
      <c r="B14" s="123" t="str">
        <f>VLOOKUP(206,T!A2:'T'!K2000,Order!B31+1)</f>
        <v>TEM in high language</v>
      </c>
      <c r="C14" s="124"/>
      <c r="D14" s="124" t="str">
        <f>VLOOKUP(207,T!A2:'T'!K2000,Order!B31+1)</f>
        <v>Calculation of all mean logarithmic temperature differences</v>
      </c>
      <c r="E14" s="124"/>
      <c r="F14" s="124"/>
      <c r="G14" s="124"/>
      <c r="H14" s="124"/>
      <c r="I14" s="124"/>
      <c r="J14" s="124"/>
      <c r="K14" s="124"/>
      <c r="L14" s="240"/>
      <c r="AB14" s="32"/>
      <c r="AC14" s="32"/>
      <c r="AD14" s="32"/>
      <c r="AE14" s="82">
        <f>AE1*47.92*125</f>
        <v>5990</v>
      </c>
      <c r="AF14" s="82">
        <f t="shared" si="9"/>
        <v>1536.15</v>
      </c>
      <c r="AG14" s="82">
        <f t="shared" ref="AG14:AG16" si="18">1.5*AF14</f>
        <v>2304.2250000000004</v>
      </c>
      <c r="AH14" s="82">
        <f>POWER('High-language applications'!D14,0.7)</f>
        <v>0</v>
      </c>
      <c r="AI14" s="82">
        <f>POWER('High-language applications'!E14,0.7)</f>
        <v>0</v>
      </c>
      <c r="AJ14" s="82">
        <f>POWER('High-language applications'!F14,0.7)</f>
        <v>0</v>
      </c>
      <c r="AL14" s="32">
        <f>AE1*11.96*125</f>
        <v>1495</v>
      </c>
      <c r="AM14" s="32">
        <f t="shared" si="1"/>
        <v>412.40000000000003</v>
      </c>
      <c r="AN14" s="32">
        <f t="shared" ref="AN14:AN19" si="19">1.5*AM14</f>
        <v>618.6</v>
      </c>
      <c r="AO14" s="32">
        <f>POWER('Excel applications 1'!D14,0.7)</f>
        <v>0</v>
      </c>
      <c r="AP14" s="32">
        <f>POWER('Excel applications 1'!E14,0.7)</f>
        <v>0</v>
      </c>
      <c r="AQ14" s="32">
        <f>POWER('Excel applications 1'!F14,0.7)</f>
        <v>0</v>
      </c>
      <c r="AS14" s="85">
        <f>AE1*35.96*125</f>
        <v>4495</v>
      </c>
      <c r="AT14" s="83">
        <f t="shared" si="3"/>
        <v>1162.3999999999999</v>
      </c>
      <c r="AU14" s="85">
        <f t="shared" si="17"/>
        <v>1743.6</v>
      </c>
      <c r="AV14" s="85">
        <f>POWER('Excel applications 2'!D14,0.7)</f>
        <v>0</v>
      </c>
      <c r="AW14" s="85">
        <f>POWER('Excel applications 2'!E14,0.7)</f>
        <v>0</v>
      </c>
      <c r="AX14" s="85">
        <f>POWER('Excel applications 2'!F14,0.7)</f>
        <v>0</v>
      </c>
    </row>
    <row r="15" spans="1:50" ht="10.5" customHeight="1" x14ac:dyDescent="0.35">
      <c r="B15" s="123" t="str">
        <f>VLOOKUP(215,T!A2:'T'!K2000,Order!B31+1)</f>
        <v>GLY in high language</v>
      </c>
      <c r="C15" s="124"/>
      <c r="D15" s="124" t="str">
        <f>VLOOKUP(125,T!A2:'T'!K2000,Order!B31+1)</f>
        <v>Brine properties and efficiency comparison for CC-Systems</v>
      </c>
      <c r="E15" s="124"/>
      <c r="F15" s="124"/>
      <c r="G15" s="124"/>
      <c r="H15" s="124"/>
      <c r="I15" s="124"/>
      <c r="J15" s="124"/>
      <c r="K15" s="124"/>
      <c r="L15" s="240"/>
      <c r="AC15" s="32"/>
      <c r="AD15" s="32"/>
      <c r="AE15" s="32">
        <f>AE1*47.92*125</f>
        <v>5990</v>
      </c>
      <c r="AF15" s="32">
        <f t="shared" si="9"/>
        <v>1536.15</v>
      </c>
      <c r="AG15" s="32">
        <f t="shared" si="18"/>
        <v>2304.2250000000004</v>
      </c>
      <c r="AH15" s="32">
        <f>POWER('High-language applications'!D15,0.7)</f>
        <v>0</v>
      </c>
      <c r="AI15" s="32">
        <f>POWER('High-language applications'!E15,0.7)</f>
        <v>0</v>
      </c>
      <c r="AJ15" s="32">
        <f>POWER('High-language applications'!F15,0.7)</f>
        <v>0</v>
      </c>
      <c r="AK15" s="10"/>
      <c r="AL15" s="83">
        <f>AE1*11.96*125</f>
        <v>1495</v>
      </c>
      <c r="AM15" s="83">
        <f t="shared" si="1"/>
        <v>412.40000000000003</v>
      </c>
      <c r="AN15" s="83">
        <f t="shared" si="19"/>
        <v>618.6</v>
      </c>
      <c r="AO15" s="83">
        <f>POWER('Excel applications 1'!D15,0.7)</f>
        <v>0</v>
      </c>
      <c r="AP15" s="83">
        <f>POWER('Excel applications 1'!E15,0.7)</f>
        <v>0</v>
      </c>
      <c r="AQ15" s="83">
        <f>POWER('Excel applications 1'!F15,0.7)</f>
        <v>0</v>
      </c>
      <c r="AS15" s="32">
        <f>AE1*11.96*125</f>
        <v>1495</v>
      </c>
      <c r="AT15" s="32">
        <f t="shared" si="3"/>
        <v>412.40000000000003</v>
      </c>
      <c r="AU15" s="32">
        <f t="shared" ref="AU15:AU18" si="20">1.5*AT15</f>
        <v>618.6</v>
      </c>
      <c r="AV15" s="32">
        <f>POWER('Excel applications 2'!D15,0.7)</f>
        <v>0</v>
      </c>
      <c r="AW15" s="32">
        <f>POWER('Excel applications 2'!E15,0.7)</f>
        <v>0</v>
      </c>
      <c r="AX15" s="32">
        <f>POWER('Excel applications 2'!F15,0.7)</f>
        <v>0</v>
      </c>
    </row>
    <row r="16" spans="1:50" ht="10.5" customHeight="1" x14ac:dyDescent="0.35">
      <c r="B16" s="123" t="str">
        <f>VLOOKUP(217,T!A2:'T'!K2000,Order!B31+1)</f>
        <v>FRO in high language</v>
      </c>
      <c r="C16" s="124"/>
      <c r="D16" s="124" t="str">
        <f>VLOOKUP(218,T!A2:'T'!K2000,Order!B31+1)</f>
        <v>Calculation of the defrosting time of finned heat exchangers</v>
      </c>
      <c r="E16" s="124"/>
      <c r="F16" s="124"/>
      <c r="G16" s="124"/>
      <c r="H16" s="124"/>
      <c r="I16" s="124"/>
      <c r="J16" s="124"/>
      <c r="K16" s="124"/>
      <c r="L16" s="240"/>
      <c r="AC16" s="32"/>
      <c r="AD16" s="32"/>
      <c r="AE16" s="32">
        <f>AE1*47.92*125</f>
        <v>5990</v>
      </c>
      <c r="AF16" s="83">
        <f t="shared" si="9"/>
        <v>1536.15</v>
      </c>
      <c r="AG16" s="32">
        <f t="shared" si="18"/>
        <v>2304.2250000000004</v>
      </c>
      <c r="AH16" s="32">
        <f>POWER('High-language applications'!D16,0.7)</f>
        <v>0</v>
      </c>
      <c r="AI16" s="32">
        <f>POWER('High-language applications'!E16,0.7)</f>
        <v>0</v>
      </c>
      <c r="AJ16" s="32">
        <f>POWER('High-language applications'!F16,0.7)</f>
        <v>0</v>
      </c>
      <c r="AL16" s="32">
        <f>AE1*23.96*125</f>
        <v>2995</v>
      </c>
      <c r="AM16" s="82">
        <f t="shared" si="1"/>
        <v>787.4</v>
      </c>
      <c r="AN16" s="32">
        <f t="shared" si="19"/>
        <v>1181.0999999999999</v>
      </c>
      <c r="AO16" s="82">
        <f>POWER('Excel applications 1'!D16,0.7)</f>
        <v>0</v>
      </c>
      <c r="AP16" s="82">
        <f>POWER('Excel applications 1'!E16,0.7)</f>
        <v>0</v>
      </c>
      <c r="AQ16" s="82">
        <f>POWER('Excel applications 1'!F16,0.7)</f>
        <v>0</v>
      </c>
      <c r="AS16" s="32">
        <f>AE1*23.96*125</f>
        <v>2995</v>
      </c>
      <c r="AT16" s="32">
        <f t="shared" si="3"/>
        <v>787.4</v>
      </c>
      <c r="AU16" s="32">
        <f t="shared" si="20"/>
        <v>1181.0999999999999</v>
      </c>
      <c r="AV16" s="32">
        <f>POWER('Excel applications 2'!D16,0.7)</f>
        <v>0</v>
      </c>
      <c r="AW16" s="32">
        <f>POWER('Excel applications 2'!E16,0.7)</f>
        <v>0</v>
      </c>
      <c r="AX16" s="32">
        <f>POWER('Excel applications 2'!F16,0.7)</f>
        <v>0</v>
      </c>
    </row>
    <row r="17" spans="2:50" ht="10.5" customHeight="1" x14ac:dyDescent="0.35">
      <c r="B17" s="123" t="str">
        <f>VLOOKUP(221,T!A2:'T'!K2000,Order!B31+1)</f>
        <v>RFT in high language</v>
      </c>
      <c r="C17" s="124"/>
      <c r="D17" s="124" t="str">
        <f>VLOOKUP(222,T!A2:'T'!K2000,Order!B31+1)</f>
        <v>Calculation of the rib foot temperature in air coolers</v>
      </c>
      <c r="E17" s="124"/>
      <c r="F17" s="124"/>
      <c r="G17" s="124"/>
      <c r="H17" s="124"/>
      <c r="I17" s="124"/>
      <c r="J17" s="124"/>
      <c r="K17" s="124"/>
      <c r="L17" s="240"/>
      <c r="AC17" s="32"/>
      <c r="AD17" s="32"/>
      <c r="AE17" s="82">
        <f>AE1*23.92*125</f>
        <v>2990</v>
      </c>
      <c r="AF17" s="82">
        <f t="shared" si="9"/>
        <v>786.15</v>
      </c>
      <c r="AG17" s="82">
        <f t="shared" ref="AG17:AG20" si="21">1.5*AF17</f>
        <v>1179.2249999999999</v>
      </c>
      <c r="AH17" s="82">
        <f>POWER('High-language applications'!D17,0.7)</f>
        <v>0</v>
      </c>
      <c r="AI17" s="82">
        <f>POWER('High-language applications'!E17,0.7)</f>
        <v>0</v>
      </c>
      <c r="AJ17" s="82">
        <f>POWER('High-language applications'!F17,0.7)</f>
        <v>0</v>
      </c>
      <c r="AL17" s="32">
        <f>AE1*23.96*125</f>
        <v>2995</v>
      </c>
      <c r="AM17" s="32">
        <f t="shared" si="1"/>
        <v>787.4</v>
      </c>
      <c r="AN17" s="32">
        <f t="shared" si="19"/>
        <v>1181.0999999999999</v>
      </c>
      <c r="AO17" s="32">
        <f>POWER('Excel applications 1'!D17,0.7)</f>
        <v>0</v>
      </c>
      <c r="AP17" s="32">
        <f>POWER('Excel applications 1'!E17,0.7)</f>
        <v>0</v>
      </c>
      <c r="AQ17" s="32">
        <f>POWER('Excel applications 1'!F17,0.7)</f>
        <v>0</v>
      </c>
      <c r="AS17" s="32">
        <f>AE1*11.96*125</f>
        <v>1495</v>
      </c>
      <c r="AT17" s="32">
        <f t="shared" si="3"/>
        <v>412.40000000000003</v>
      </c>
      <c r="AU17" s="32">
        <f t="shared" si="20"/>
        <v>618.6</v>
      </c>
      <c r="AV17" s="32">
        <f>POWER('Excel applications 2'!D17,0.7)</f>
        <v>0</v>
      </c>
      <c r="AW17" s="32">
        <f>POWER('Excel applications 2'!E17,0.7)</f>
        <v>0</v>
      </c>
      <c r="AX17" s="32">
        <f>POWER('Excel applications 2'!F17,0.7)</f>
        <v>0</v>
      </c>
    </row>
    <row r="18" spans="2:50" ht="10.5" customHeight="1" x14ac:dyDescent="0.35">
      <c r="B18" s="123" t="str">
        <f>VLOOKUP(214,T!A2:'T'!K2000,Order!B31+1)</f>
        <v>REF in high language</v>
      </c>
      <c r="C18" s="124"/>
      <c r="D18" s="124" t="str">
        <f>VLOOKUP(128,T!A2:'T'!K2000,Order!B31+1)</f>
        <v>Subcritical: Optimize the process in refrigerant circuits</v>
      </c>
      <c r="E18" s="124"/>
      <c r="F18" s="124"/>
      <c r="G18" s="124"/>
      <c r="H18" s="124"/>
      <c r="I18" s="124"/>
      <c r="J18" s="124"/>
      <c r="K18" s="124"/>
      <c r="L18" s="240"/>
      <c r="AC18" s="32"/>
      <c r="AD18" s="32"/>
      <c r="AE18" s="32">
        <f>AE1*23.92*125</f>
        <v>2990</v>
      </c>
      <c r="AF18" s="32">
        <f t="shared" si="9"/>
        <v>786.15</v>
      </c>
      <c r="AG18" s="32">
        <f t="shared" si="21"/>
        <v>1179.2249999999999</v>
      </c>
      <c r="AH18" s="32">
        <f>POWER('High-language applications'!D18,0.7)</f>
        <v>0</v>
      </c>
      <c r="AI18" s="32">
        <f>POWER('High-language applications'!E18,0.7)</f>
        <v>0</v>
      </c>
      <c r="AJ18" s="32">
        <f>POWER('High-language applications'!F18,0.7)</f>
        <v>0</v>
      </c>
      <c r="AL18" s="83">
        <f>AE1*23.96*125</f>
        <v>2995</v>
      </c>
      <c r="AM18" s="83">
        <f t="shared" si="1"/>
        <v>787.4</v>
      </c>
      <c r="AN18" s="83">
        <f t="shared" si="19"/>
        <v>1181.0999999999999</v>
      </c>
      <c r="AO18" s="83">
        <f>POWER('Excel applications 1'!D18,0.7)</f>
        <v>0</v>
      </c>
      <c r="AP18" s="83">
        <f>POWER('Excel applications 1'!E18,0.7)</f>
        <v>0</v>
      </c>
      <c r="AQ18" s="83">
        <f>POWER('Excel applications 1'!F18,0.7)</f>
        <v>0</v>
      </c>
      <c r="AS18" s="32">
        <f>AE1*23.96*125</f>
        <v>2995</v>
      </c>
      <c r="AT18" s="32">
        <f t="shared" si="3"/>
        <v>787.4</v>
      </c>
      <c r="AU18" s="32">
        <f t="shared" si="20"/>
        <v>1181.0999999999999</v>
      </c>
      <c r="AV18" s="32">
        <f>POWER('Excel applications 2'!D18,0.7)</f>
        <v>0</v>
      </c>
      <c r="AW18" s="32">
        <f>POWER('Excel applications 2'!E18,0.7)</f>
        <v>0</v>
      </c>
      <c r="AX18" s="32">
        <f>POWER('Excel applications 2'!F18,0.7)</f>
        <v>0</v>
      </c>
    </row>
    <row r="19" spans="2:50" ht="10.5" customHeight="1" x14ac:dyDescent="0.35">
      <c r="B19" s="123" t="str">
        <f>VLOOKUP(219,T!A2:'T'!K2000,Order!B31+1)</f>
        <v>KES in high language</v>
      </c>
      <c r="C19" s="124"/>
      <c r="D19" s="124" t="str">
        <f>VLOOKUP(220,T!A2:'T'!K2000,Order!B31+1)</f>
        <v>Calculation of ice storages for cold water production 6/12°C</v>
      </c>
      <c r="E19" s="124"/>
      <c r="F19" s="124"/>
      <c r="G19" s="124"/>
      <c r="H19" s="124"/>
      <c r="I19" s="124"/>
      <c r="J19" s="124"/>
      <c r="K19" s="124"/>
      <c r="L19" s="240"/>
      <c r="AC19" s="32"/>
      <c r="AD19" s="32"/>
      <c r="AE19" s="32">
        <f>AE1*23.92*125</f>
        <v>2990</v>
      </c>
      <c r="AF19" s="32">
        <f t="shared" si="9"/>
        <v>786.15</v>
      </c>
      <c r="AG19" s="32">
        <f t="shared" si="21"/>
        <v>1179.2249999999999</v>
      </c>
      <c r="AH19" s="32">
        <f>POWER('High-language applications'!D19,0.7)</f>
        <v>0</v>
      </c>
      <c r="AI19" s="32">
        <f>POWER('High-language applications'!E19,0.7)</f>
        <v>0</v>
      </c>
      <c r="AJ19" s="32">
        <f>POWER('High-language applications'!F19,0.7)</f>
        <v>0</v>
      </c>
      <c r="AL19" s="82">
        <f>AE1*23.96*125</f>
        <v>2995</v>
      </c>
      <c r="AM19" s="82">
        <f t="shared" si="1"/>
        <v>787.4</v>
      </c>
      <c r="AN19" s="82">
        <f t="shared" si="19"/>
        <v>1181.0999999999999</v>
      </c>
      <c r="AO19" s="82">
        <f>POWER('Excel applications 1'!D19,0.7)</f>
        <v>0</v>
      </c>
      <c r="AP19" s="82">
        <f>POWER('Excel applications 1'!E19,0.7)</f>
        <v>0</v>
      </c>
      <c r="AQ19" s="82">
        <f>POWER('Excel applications 1'!F19,0.7)</f>
        <v>0</v>
      </c>
      <c r="AS19" s="82">
        <f>AE1*23.96*125</f>
        <v>2995</v>
      </c>
      <c r="AT19" s="82">
        <f t="shared" si="3"/>
        <v>787.4</v>
      </c>
      <c r="AU19" s="82">
        <f t="shared" ref="AU19:AU26" si="22">1.5*AT19</f>
        <v>1181.0999999999999</v>
      </c>
      <c r="AV19" s="82">
        <f>POWER('Excel applications 2'!D19,0.7)</f>
        <v>0</v>
      </c>
      <c r="AW19" s="82">
        <f>POWER('Excel applications 2'!E19,0.7)</f>
        <v>0</v>
      </c>
      <c r="AX19" s="82">
        <f>POWER('Excel applications 2'!F19,0.7)</f>
        <v>0</v>
      </c>
    </row>
    <row r="20" spans="2:50" s="42" customFormat="1" ht="10.5" customHeight="1" x14ac:dyDescent="0.35">
      <c r="B20" s="123" t="str">
        <f>VLOOKUP(244,T!A2:'T'!K2000,Order!B31+1)</f>
        <v>HDH in high language</v>
      </c>
      <c r="C20" s="124"/>
      <c r="D20" s="124" t="str">
        <f>VLOOKUP(248,T!A2:'T'!K2000,Order!B31+1)</f>
        <v>Calculation of heating degree days and cooling degree days</v>
      </c>
      <c r="E20" s="124"/>
      <c r="F20" s="124"/>
      <c r="G20" s="124"/>
      <c r="H20" s="124"/>
      <c r="I20" s="124"/>
      <c r="J20" s="124"/>
      <c r="K20" s="124"/>
      <c r="L20" s="240"/>
      <c r="AC20" s="32"/>
      <c r="AD20" s="32"/>
      <c r="AE20" s="83">
        <f>AE1*23.92*125</f>
        <v>2990</v>
      </c>
      <c r="AF20" s="83">
        <f t="shared" si="9"/>
        <v>786.15</v>
      </c>
      <c r="AG20" s="83">
        <f t="shared" si="21"/>
        <v>1179.2249999999999</v>
      </c>
      <c r="AH20" s="83">
        <f>POWER('High-language applications'!D20,0.7)</f>
        <v>0</v>
      </c>
      <c r="AI20" s="83">
        <f>POWER('High-language applications'!E20,0.7)</f>
        <v>0</v>
      </c>
      <c r="AJ20" s="83">
        <f>POWER('High-language applications'!F20,0.7)</f>
        <v>0</v>
      </c>
      <c r="AL20" s="32">
        <f>AE1*23.96*125</f>
        <v>2995</v>
      </c>
      <c r="AM20" s="32">
        <f t="shared" si="1"/>
        <v>787.4</v>
      </c>
      <c r="AN20" s="32">
        <f t="shared" ref="AN20" si="23">1.5*AM20</f>
        <v>1181.0999999999999</v>
      </c>
      <c r="AO20" s="32">
        <f>POWER('Excel applications 1'!D20,0.7)</f>
        <v>0</v>
      </c>
      <c r="AP20" s="32">
        <f>POWER('Excel applications 1'!E20,0.7)</f>
        <v>0</v>
      </c>
      <c r="AQ20" s="32">
        <f>POWER('Excel applications 1'!F20,0.7)</f>
        <v>0</v>
      </c>
      <c r="AS20" s="32">
        <f>AE1*23.96*125</f>
        <v>2995</v>
      </c>
      <c r="AT20" s="32">
        <f t="shared" si="3"/>
        <v>787.4</v>
      </c>
      <c r="AU20" s="32">
        <f t="shared" si="22"/>
        <v>1181.0999999999999</v>
      </c>
      <c r="AV20" s="32">
        <f>POWER('Excel applications 2'!D20,0.7)</f>
        <v>0</v>
      </c>
      <c r="AW20" s="32">
        <f>POWER('Excel applications 2'!E20,0.7)</f>
        <v>0</v>
      </c>
      <c r="AX20" s="32">
        <f>POWER('Excel applications 2'!F20,0.7)</f>
        <v>0</v>
      </c>
    </row>
    <row r="21" spans="2:50" s="42" customFormat="1" ht="10.5" customHeight="1" x14ac:dyDescent="0.35">
      <c r="B21" s="123" t="str">
        <f>VLOOKUP(251,T!A2:'T'!K2000,Order!B31+1)</f>
        <v>MRM in high language</v>
      </c>
      <c r="C21" s="124"/>
      <c r="D21" s="124" t="str">
        <f>CONCATENATE(VLOOKUP(232,T!A2:'T'!K2000,Order!B31+1)," (",VLOOKUP(255,T!A2:'T'!K2000,Order!B31+1),"!)")</f>
        <v>Cooling requirements in midsummer - Meteorological risk management (Available soon!)</v>
      </c>
      <c r="E21" s="124"/>
      <c r="F21" s="124"/>
      <c r="G21" s="124"/>
      <c r="H21" s="124"/>
      <c r="I21" s="124"/>
      <c r="J21" s="124"/>
      <c r="K21" s="124"/>
      <c r="L21" s="248"/>
      <c r="O21" s="249"/>
      <c r="P21" s="250"/>
      <c r="Q21" s="250"/>
      <c r="R21" s="250"/>
      <c r="S21" s="250"/>
      <c r="T21" s="250"/>
      <c r="U21" s="250"/>
      <c r="V21" s="251"/>
      <c r="AB21" s="32"/>
      <c r="AC21" s="32"/>
      <c r="AD21" s="32"/>
      <c r="AE21" s="82">
        <f>AE1*47.92*125</f>
        <v>5990</v>
      </c>
      <c r="AF21" s="82">
        <f t="shared" si="9"/>
        <v>1536.15</v>
      </c>
      <c r="AG21" s="82">
        <f t="shared" ref="AG21:AG23" si="24">1.5*AF21</f>
        <v>2304.2250000000004</v>
      </c>
      <c r="AH21" s="82">
        <f>POWER('High-language applications'!D21,0.7)</f>
        <v>0</v>
      </c>
      <c r="AI21" s="82">
        <f>POWER('High-language applications'!E21,0.7)</f>
        <v>0</v>
      </c>
      <c r="AJ21" s="82">
        <f>POWER('High-language applications'!F21,0.7)</f>
        <v>0</v>
      </c>
      <c r="AL21" s="83">
        <f>AE1*23.96*125</f>
        <v>2995</v>
      </c>
      <c r="AM21" s="83">
        <f t="shared" si="1"/>
        <v>787.4</v>
      </c>
      <c r="AN21" s="83">
        <f t="shared" ref="AN21:AN25" si="25">1.5*AM21</f>
        <v>1181.0999999999999</v>
      </c>
      <c r="AO21" s="83">
        <f>POWER('Excel applications 1'!D21,0.7)</f>
        <v>0</v>
      </c>
      <c r="AP21" s="83">
        <f>POWER('Excel applications 1'!E21,0.7)</f>
        <v>0</v>
      </c>
      <c r="AQ21" s="83">
        <f>POWER('Excel applications 1'!F21,0.7)</f>
        <v>0</v>
      </c>
      <c r="AS21" s="32">
        <f>AE1*23.96*125</f>
        <v>2995</v>
      </c>
      <c r="AT21" s="32">
        <f t="shared" si="3"/>
        <v>787.4</v>
      </c>
      <c r="AU21" s="32">
        <f t="shared" si="22"/>
        <v>1181.0999999999999</v>
      </c>
      <c r="AV21" s="32">
        <f>POWER('Excel applications 2'!D21,0.7)</f>
        <v>0</v>
      </c>
      <c r="AW21" s="32">
        <f>POWER('Excel applications 2'!E21,0.7)</f>
        <v>0</v>
      </c>
      <c r="AX21" s="32">
        <f>POWER('Excel applications 2'!F21,0.7)</f>
        <v>0</v>
      </c>
    </row>
    <row r="22" spans="2:50" s="42" customFormat="1" ht="10.5" customHeight="1" x14ac:dyDescent="0.35">
      <c r="B22" s="123" t="str">
        <f>VLOOKUP(245,T!A2:'T'!K2000,Order!B31+1)</f>
        <v>CLR in high language</v>
      </c>
      <c r="C22" s="124"/>
      <c r="D22" s="124" t="str">
        <f>VLOOKUP(249,T!A2:'T'!K2000,Order!B31+1)</f>
        <v>Calculation of the cooling load of rooms</v>
      </c>
      <c r="E22" s="124"/>
      <c r="F22" s="124"/>
      <c r="G22" s="124"/>
      <c r="H22" s="124"/>
      <c r="I22" s="124"/>
      <c r="J22" s="124"/>
      <c r="K22" s="124"/>
      <c r="L22" s="240"/>
      <c r="O22" s="123"/>
      <c r="P22" s="124"/>
      <c r="Q22" s="124"/>
      <c r="R22" s="124"/>
      <c r="S22" s="124"/>
      <c r="T22" s="124"/>
      <c r="U22" s="124"/>
      <c r="V22" s="240"/>
      <c r="AC22" s="32"/>
      <c r="AD22" s="32"/>
      <c r="AE22" s="32">
        <f>AE1*47.92*125</f>
        <v>5990</v>
      </c>
      <c r="AF22" s="32">
        <f t="shared" si="9"/>
        <v>1536.15</v>
      </c>
      <c r="AG22" s="32">
        <f t="shared" si="24"/>
        <v>2304.2250000000004</v>
      </c>
      <c r="AH22" s="32">
        <f>POWER('High-language applications'!D22,0.7)</f>
        <v>0</v>
      </c>
      <c r="AI22" s="32">
        <f>POWER('High-language applications'!E22,0.7)</f>
        <v>0</v>
      </c>
      <c r="AJ22" s="32">
        <f>POWER('High-language applications'!F22,0.7)</f>
        <v>0</v>
      </c>
      <c r="AL22" s="82">
        <f>AE1*23.96*125</f>
        <v>2995</v>
      </c>
      <c r="AM22" s="82">
        <f t="shared" si="1"/>
        <v>787.4</v>
      </c>
      <c r="AN22" s="82">
        <f t="shared" si="25"/>
        <v>1181.0999999999999</v>
      </c>
      <c r="AO22" s="82">
        <f>POWER('Excel applications 1'!D22,0.7)</f>
        <v>0</v>
      </c>
      <c r="AP22" s="82">
        <f>POWER('Excel applications 1'!E22,0.7)</f>
        <v>0</v>
      </c>
      <c r="AQ22" s="82">
        <f>POWER('Excel applications 1'!F22,0.7)</f>
        <v>0</v>
      </c>
      <c r="AS22" s="32">
        <f>AE1*23.96*125</f>
        <v>2995</v>
      </c>
      <c r="AT22" s="32">
        <f t="shared" si="3"/>
        <v>787.4</v>
      </c>
      <c r="AU22" s="32">
        <f t="shared" si="22"/>
        <v>1181.0999999999999</v>
      </c>
      <c r="AV22" s="32">
        <f>POWER('Excel applications 2'!D22,0.7)</f>
        <v>0</v>
      </c>
      <c r="AW22" s="32">
        <f>POWER('Excel applications 2'!E22,0.7)</f>
        <v>0</v>
      </c>
      <c r="AX22" s="32">
        <f>POWER('Excel applications 2'!F22,0.7)</f>
        <v>0</v>
      </c>
    </row>
    <row r="23" spans="2:50" s="42" customFormat="1" ht="10.5" customHeight="1" x14ac:dyDescent="0.35">
      <c r="B23" s="123" t="str">
        <f>VLOOKUP(246,T!A2:'T'!K2000,Order!B31+1)</f>
        <v>HLR in high language</v>
      </c>
      <c r="C23" s="124"/>
      <c r="D23" s="124" t="str">
        <f>VLOOKUP(250,T!A2:'T'!K2000,Order!B31+1)</f>
        <v>Calculation of the heating load of rooms</v>
      </c>
      <c r="E23" s="124"/>
      <c r="F23" s="124"/>
      <c r="G23" s="124"/>
      <c r="H23" s="124"/>
      <c r="I23" s="124"/>
      <c r="J23" s="124"/>
      <c r="K23" s="124"/>
      <c r="L23" s="240"/>
      <c r="O23" s="123"/>
      <c r="P23" s="124"/>
      <c r="Q23" s="124"/>
      <c r="R23" s="124"/>
      <c r="S23" s="124"/>
      <c r="T23" s="124"/>
      <c r="U23" s="124"/>
      <c r="V23" s="240"/>
      <c r="AC23" s="32"/>
      <c r="AD23" s="32"/>
      <c r="AE23" s="32">
        <f>AE1*47.92*125</f>
        <v>5990</v>
      </c>
      <c r="AF23" s="83">
        <f t="shared" si="9"/>
        <v>1536.15</v>
      </c>
      <c r="AG23" s="32">
        <f t="shared" si="24"/>
        <v>2304.2250000000004</v>
      </c>
      <c r="AH23" s="32">
        <f>POWER('High-language applications'!D23,0.7)</f>
        <v>0</v>
      </c>
      <c r="AI23" s="32">
        <f>POWER('High-language applications'!E23,0.7)</f>
        <v>0</v>
      </c>
      <c r="AJ23" s="32">
        <f>POWER('High-language applications'!F23,0.7)</f>
        <v>0</v>
      </c>
      <c r="AL23" s="32">
        <f>AE1*23.96*125</f>
        <v>2995</v>
      </c>
      <c r="AM23" s="32">
        <f t="shared" si="1"/>
        <v>787.4</v>
      </c>
      <c r="AN23" s="32">
        <f t="shared" si="25"/>
        <v>1181.0999999999999</v>
      </c>
      <c r="AO23" s="32">
        <f>POWER('Excel applications 1'!D23,0.7)</f>
        <v>0</v>
      </c>
      <c r="AP23" s="32">
        <f>POWER('Excel applications 1'!E23,0.7)</f>
        <v>0</v>
      </c>
      <c r="AQ23" s="32">
        <f>POWER('Excel applications 1'!F23,0.7)</f>
        <v>0</v>
      </c>
      <c r="AS23" s="32">
        <f>AE1*23.96*125</f>
        <v>2995</v>
      </c>
      <c r="AT23" s="32">
        <f t="shared" si="3"/>
        <v>787.4</v>
      </c>
      <c r="AU23" s="32">
        <f t="shared" si="22"/>
        <v>1181.0999999999999</v>
      </c>
      <c r="AV23" s="32">
        <f>POWER('Excel applications 2'!D23,0.7)</f>
        <v>0</v>
      </c>
      <c r="AW23" s="32">
        <f>POWER('Excel applications 2'!E23,0.7)</f>
        <v>0</v>
      </c>
      <c r="AX23" s="32">
        <f>POWER('Excel applications 2'!F23,0.7)</f>
        <v>0</v>
      </c>
    </row>
    <row r="24" spans="2:50" s="42" customFormat="1" ht="10.5" customHeight="1" x14ac:dyDescent="0.35">
      <c r="B24" s="123" t="str">
        <f>VLOOKUP(7,T!A2:'T'!K2000,Order!B31+1)</f>
        <v>AHU in high language</v>
      </c>
      <c r="C24" s="124"/>
      <c r="D24" s="124" t="str">
        <f>VLOOKUP(14,T!A2:'T'!K2000,Order!B31+1)</f>
        <v>Neutral Air-Handling-Unit configurator for projects</v>
      </c>
      <c r="E24" s="124"/>
      <c r="F24" s="124"/>
      <c r="G24" s="124"/>
      <c r="H24" s="124"/>
      <c r="I24" s="124"/>
      <c r="J24" s="124"/>
      <c r="K24" s="124"/>
      <c r="L24" s="240"/>
      <c r="O24" s="123"/>
      <c r="P24" s="124"/>
      <c r="Q24" s="124"/>
      <c r="R24" s="124"/>
      <c r="S24" s="124"/>
      <c r="T24" s="124"/>
      <c r="U24" s="124"/>
      <c r="V24" s="240"/>
      <c r="AE24" s="82"/>
      <c r="AF24" s="82"/>
      <c r="AG24" s="82"/>
      <c r="AH24" s="82"/>
      <c r="AI24" s="82"/>
      <c r="AJ24" s="82"/>
      <c r="AL24" s="32">
        <f>AE1*23.96*125</f>
        <v>2995</v>
      </c>
      <c r="AM24" s="83">
        <f t="shared" si="1"/>
        <v>787.4</v>
      </c>
      <c r="AN24" s="32">
        <f t="shared" si="25"/>
        <v>1181.0999999999999</v>
      </c>
      <c r="AO24" s="83">
        <f>POWER('Excel applications 1'!D24,0.7)</f>
        <v>0</v>
      </c>
      <c r="AP24" s="83">
        <f>POWER('Excel applications 1'!E24,0.7)</f>
        <v>0</v>
      </c>
      <c r="AQ24" s="83">
        <f>POWER('Excel applications 1'!F24,0.7)</f>
        <v>0</v>
      </c>
      <c r="AS24" s="32">
        <f>AE1*23.96*125</f>
        <v>2995</v>
      </c>
      <c r="AT24" s="32">
        <f t="shared" si="3"/>
        <v>787.4</v>
      </c>
      <c r="AU24" s="32">
        <f t="shared" si="22"/>
        <v>1181.0999999999999</v>
      </c>
      <c r="AV24" s="32">
        <f>POWER('Excel applications 2'!D24,0.7)</f>
        <v>0</v>
      </c>
      <c r="AW24" s="32">
        <f>POWER('Excel applications 2'!E24,0.7)</f>
        <v>0</v>
      </c>
      <c r="AX24" s="32">
        <f>POWER('Excel applications 2'!F24,0.7)</f>
        <v>0</v>
      </c>
    </row>
    <row r="25" spans="2:50" s="42" customFormat="1" ht="10.5" customHeight="1" x14ac:dyDescent="0.35">
      <c r="B25" s="241" t="str">
        <f>VLOOKUP(228,T!A2:'T'!K2000,Order!B31+1)</f>
        <v>GHH in high language</v>
      </c>
      <c r="C25" s="165"/>
      <c r="D25" s="165" t="str">
        <f>VLOOKUP(229,T!A2:'T'!K2000,Order!B31+1)</f>
        <v>Mollier-Diagram for gas-steam mixtures to condensing the steam</v>
      </c>
      <c r="E25" s="165"/>
      <c r="F25" s="165"/>
      <c r="G25" s="165"/>
      <c r="H25" s="165"/>
      <c r="I25" s="165"/>
      <c r="J25" s="165"/>
      <c r="K25" s="165"/>
      <c r="L25" s="242"/>
      <c r="O25" s="123"/>
      <c r="P25" s="124"/>
      <c r="Q25" s="124"/>
      <c r="R25" s="124"/>
      <c r="S25" s="124"/>
      <c r="T25" s="124"/>
      <c r="U25" s="124"/>
      <c r="V25" s="240"/>
      <c r="AE25" s="32"/>
      <c r="AF25" s="32"/>
      <c r="AG25" s="32"/>
      <c r="AH25" s="32"/>
      <c r="AI25" s="32"/>
      <c r="AJ25" s="32"/>
      <c r="AL25" s="84">
        <f>AE1*11.96*125</f>
        <v>1495</v>
      </c>
      <c r="AM25" s="83">
        <f t="shared" si="1"/>
        <v>412.40000000000003</v>
      </c>
      <c r="AN25" s="84">
        <f t="shared" si="25"/>
        <v>618.6</v>
      </c>
      <c r="AO25" s="84">
        <f>POWER('Excel applications 1'!D25,0.7)</f>
        <v>0</v>
      </c>
      <c r="AP25" s="84">
        <f>POWER('Excel applications 1'!E25,0.7)</f>
        <v>0</v>
      </c>
      <c r="AQ25" s="84">
        <f>POWER('Excel applications 1'!F25,0.7)</f>
        <v>0</v>
      </c>
      <c r="AS25" s="32">
        <f>AE1*23.96*125</f>
        <v>2995</v>
      </c>
      <c r="AT25" s="32">
        <f t="shared" si="3"/>
        <v>787.4</v>
      </c>
      <c r="AU25" s="32">
        <f t="shared" si="22"/>
        <v>1181.0999999999999</v>
      </c>
      <c r="AV25" s="32">
        <f>POWER('Excel applications 2'!D25,0.7)</f>
        <v>0</v>
      </c>
      <c r="AW25" s="32">
        <f>POWER('Excel applications 2'!E25,0.7)</f>
        <v>0</v>
      </c>
      <c r="AX25" s="32">
        <f>POWER('Excel applications 2'!F25,0.7)</f>
        <v>0</v>
      </c>
    </row>
    <row r="26" spans="2:50" ht="10.5" customHeight="1" x14ac:dyDescent="0.35">
      <c r="O26" s="123"/>
      <c r="P26" s="124"/>
      <c r="Q26" s="124"/>
      <c r="R26" s="124"/>
      <c r="S26" s="124"/>
      <c r="T26" s="124"/>
      <c r="U26" s="124"/>
      <c r="V26" s="240"/>
      <c r="AE26" s="32"/>
      <c r="AF26" s="32"/>
      <c r="AG26" s="32"/>
      <c r="AH26" s="32"/>
      <c r="AI26" s="32"/>
      <c r="AJ26" s="32"/>
      <c r="AL26" s="82">
        <f>AE1*35.96*125</f>
        <v>4495</v>
      </c>
      <c r="AM26" s="82">
        <f t="shared" si="1"/>
        <v>1162.3999999999999</v>
      </c>
      <c r="AN26" s="82">
        <f t="shared" ref="AN26:AN27" si="26">1.5*AM26</f>
        <v>1743.6</v>
      </c>
      <c r="AO26" s="82">
        <f>POWER('Excel applications 1'!D26,0.7)</f>
        <v>0</v>
      </c>
      <c r="AP26" s="82">
        <f>POWER('Excel applications 1'!E26,0.7)</f>
        <v>0</v>
      </c>
      <c r="AQ26" s="82">
        <f>POWER('Excel applications 1'!F26,0.7)</f>
        <v>0</v>
      </c>
      <c r="AS26" s="32">
        <f>AE1*23.96*125</f>
        <v>2995</v>
      </c>
      <c r="AT26" s="83">
        <f t="shared" si="3"/>
        <v>787.4</v>
      </c>
      <c r="AU26" s="32">
        <f t="shared" si="22"/>
        <v>1181.0999999999999</v>
      </c>
      <c r="AV26" s="32">
        <f>POWER('Excel applications 2'!D26,0.7)</f>
        <v>0</v>
      </c>
      <c r="AW26" s="32">
        <f>POWER('Excel applications 2'!E26,0.7)</f>
        <v>0</v>
      </c>
      <c r="AX26" s="32">
        <f>POWER('Excel applications 2'!F26,0.7)</f>
        <v>0</v>
      </c>
    </row>
    <row r="27" spans="2:50" ht="10.5" customHeight="1" x14ac:dyDescent="0.35">
      <c r="B27" s="89">
        <v>1</v>
      </c>
      <c r="C27" s="90" t="s">
        <v>197</v>
      </c>
      <c r="L27" s="164" t="str">
        <f>VLOOKUP(17,T!A2:'T'!K2000,Order!B31+1)</f>
        <v>High-language applications can be tested for 30 days!</v>
      </c>
      <c r="O27" s="123"/>
      <c r="P27" s="124"/>
      <c r="Q27" s="124"/>
      <c r="R27" s="124"/>
      <c r="S27" s="124"/>
      <c r="T27" s="124"/>
      <c r="U27" s="124"/>
      <c r="V27" s="240"/>
      <c r="AE27" s="84">
        <f>AE1*14.4*125</f>
        <v>1800</v>
      </c>
      <c r="AF27" s="87"/>
      <c r="AG27" s="87"/>
      <c r="AH27" s="87"/>
      <c r="AI27" s="87"/>
      <c r="AJ27" s="87"/>
      <c r="AL27" s="32">
        <f>AE1*35.96*125</f>
        <v>4495</v>
      </c>
      <c r="AM27" s="32">
        <f t="shared" si="1"/>
        <v>1162.3999999999999</v>
      </c>
      <c r="AN27" s="32">
        <f t="shared" si="26"/>
        <v>1743.6</v>
      </c>
      <c r="AO27" s="32">
        <f>POWER('Excel applications 1'!D27,0.7)</f>
        <v>0</v>
      </c>
      <c r="AP27" s="32">
        <f>POWER('Excel applications 1'!E27,0.7)</f>
        <v>0</v>
      </c>
      <c r="AQ27" s="32">
        <f>POWER('Excel applications 1'!F27,0.7)</f>
        <v>0</v>
      </c>
      <c r="AS27" s="82">
        <f>AE1*23.96*125</f>
        <v>2995</v>
      </c>
      <c r="AT27" s="32">
        <f t="shared" si="3"/>
        <v>787.4</v>
      </c>
      <c r="AU27" s="82">
        <f t="shared" ref="AU27:AU41" si="27">1.5*AT27</f>
        <v>1181.0999999999999</v>
      </c>
      <c r="AV27" s="82">
        <f>POWER('Excel applications 2'!D27,0.7)</f>
        <v>0</v>
      </c>
      <c r="AW27" s="82">
        <f>POWER('Excel applications 2'!E27,0.7)</f>
        <v>0</v>
      </c>
      <c r="AX27" s="82">
        <f>POWER('Excel applications 2'!F27,0.7)</f>
        <v>0</v>
      </c>
    </row>
    <row r="28" spans="2:50" ht="10.5" customHeight="1" x14ac:dyDescent="0.35">
      <c r="B28" s="91">
        <v>2</v>
      </c>
      <c r="C28" s="92" t="s">
        <v>198</v>
      </c>
      <c r="L28" s="95" t="str">
        <f>VLOOKUP(138,T!A2:'T'!K2000,Order!B31+1)</f>
        <v>All prices are one-time costs!</v>
      </c>
      <c r="O28" s="123"/>
      <c r="P28" s="124"/>
      <c r="Q28" s="124"/>
      <c r="R28" s="124"/>
      <c r="S28" s="124"/>
      <c r="T28" s="124"/>
      <c r="U28" s="124"/>
      <c r="V28" s="240"/>
      <c r="AE28" s="32"/>
      <c r="AF28" s="32"/>
      <c r="AG28" s="32"/>
      <c r="AH28" s="32"/>
      <c r="AI28" s="32"/>
      <c r="AJ28" s="32"/>
      <c r="AL28" s="32">
        <f>AE1*35.96*125</f>
        <v>4495</v>
      </c>
      <c r="AM28" s="32">
        <f t="shared" si="1"/>
        <v>1162.3999999999999</v>
      </c>
      <c r="AN28" s="32">
        <f t="shared" ref="AN28:AN29" si="28">1.5*AM28</f>
        <v>1743.6</v>
      </c>
      <c r="AO28" s="32">
        <f>POWER('Excel applications 1'!D28,0.7)</f>
        <v>0</v>
      </c>
      <c r="AP28" s="32">
        <f>POWER('Excel applications 1'!E28,0.7)</f>
        <v>0</v>
      </c>
      <c r="AQ28" s="32">
        <f>POWER('Excel applications 1'!F28,0.7)</f>
        <v>0</v>
      </c>
      <c r="AS28" s="32">
        <f>AE1*23.96*125</f>
        <v>2995</v>
      </c>
      <c r="AT28" s="32">
        <f t="shared" si="3"/>
        <v>787.4</v>
      </c>
      <c r="AU28" s="32">
        <f t="shared" si="27"/>
        <v>1181.0999999999999</v>
      </c>
      <c r="AV28" s="32">
        <f>POWER('Excel applications 2'!D28,0.7)</f>
        <v>0</v>
      </c>
      <c r="AW28" s="32">
        <f>POWER('Excel applications 2'!E28,0.7)</f>
        <v>0</v>
      </c>
      <c r="AX28" s="32">
        <f>POWER('Excel applications 2'!F28,0.7)</f>
        <v>0</v>
      </c>
    </row>
    <row r="29" spans="2:50" ht="10.5" customHeight="1" x14ac:dyDescent="0.35">
      <c r="B29" s="91">
        <v>3</v>
      </c>
      <c r="C29" s="92" t="s">
        <v>199</v>
      </c>
      <c r="L29" s="4" t="str">
        <f>VLOOKUP(139,T!A2:'T'!K2000,Order!B31+1)</f>
        <v>For customers abroad, no VAT is due.</v>
      </c>
      <c r="O29" s="123"/>
      <c r="P29" s="124"/>
      <c r="Q29" s="124"/>
      <c r="R29" s="124"/>
      <c r="S29" s="124"/>
      <c r="T29" s="124"/>
      <c r="U29" s="124"/>
      <c r="V29" s="240"/>
      <c r="AE29" s="32"/>
      <c r="AF29" s="32"/>
      <c r="AG29" s="32"/>
      <c r="AH29" s="32"/>
      <c r="AI29" s="32"/>
      <c r="AJ29" s="32"/>
      <c r="AL29" s="82">
        <f>AE1*11.96*125</f>
        <v>1495</v>
      </c>
      <c r="AM29" s="82">
        <f t="shared" ref="AM29:AM47" si="29">AL29*(0.25+(38.65/AL29))</f>
        <v>412.40000000000003</v>
      </c>
      <c r="AN29" s="82">
        <f t="shared" si="28"/>
        <v>618.6</v>
      </c>
      <c r="AO29" s="82">
        <f>POWER('Excel applications 1'!D29,0.7)</f>
        <v>0</v>
      </c>
      <c r="AP29" s="82">
        <f>POWER('Excel applications 1'!E29,0.7)</f>
        <v>0</v>
      </c>
      <c r="AQ29" s="82">
        <f>POWER('Excel applications 1'!F29,0.7)</f>
        <v>0</v>
      </c>
      <c r="AS29" s="83">
        <f>AE1*23.96*125</f>
        <v>2995</v>
      </c>
      <c r="AT29" s="32">
        <f t="shared" si="3"/>
        <v>787.4</v>
      </c>
      <c r="AU29" s="83">
        <f t="shared" si="27"/>
        <v>1181.0999999999999</v>
      </c>
      <c r="AV29" s="83">
        <f>POWER('Excel applications 2'!D29,0.7)</f>
        <v>0</v>
      </c>
      <c r="AW29" s="83">
        <f>POWER('Excel applications 2'!E29,0.7)</f>
        <v>0</v>
      </c>
      <c r="AX29" s="83">
        <f>POWER('Excel applications 2'!F29,0.7)</f>
        <v>0</v>
      </c>
    </row>
    <row r="30" spans="2:50" ht="10.5" customHeight="1" x14ac:dyDescent="0.35">
      <c r="B30" s="93">
        <v>4</v>
      </c>
      <c r="C30" s="94" t="s">
        <v>200</v>
      </c>
      <c r="L30" s="4" t="str">
        <f>VLOOKUP(141,T!A2:'T'!K2000,Order!B31+1)</f>
        <v>For customers in Switzerland, an additional VAT of 8.1% is due.</v>
      </c>
      <c r="O30" s="123"/>
      <c r="P30" s="124"/>
      <c r="Q30" s="124"/>
      <c r="R30" s="124"/>
      <c r="S30" s="124"/>
      <c r="T30" s="124"/>
      <c r="U30" s="124"/>
      <c r="V30" s="240"/>
      <c r="AE30" s="32"/>
      <c r="AF30" s="32"/>
      <c r="AG30" s="32"/>
      <c r="AH30" s="32"/>
      <c r="AI30" s="32"/>
      <c r="AJ30" s="32"/>
      <c r="AL30" s="32">
        <f>AE1*11.96*125</f>
        <v>1495</v>
      </c>
      <c r="AM30" s="32">
        <f t="shared" si="29"/>
        <v>412.40000000000003</v>
      </c>
      <c r="AN30" s="32">
        <f t="shared" ref="AN30:AN32" si="30">1.5*AM30</f>
        <v>618.6</v>
      </c>
      <c r="AO30" s="32">
        <f>POWER('Excel applications 1'!D30,0.7)</f>
        <v>0</v>
      </c>
      <c r="AP30" s="32">
        <f>POWER('Excel applications 1'!E30,0.7)</f>
        <v>0</v>
      </c>
      <c r="AQ30" s="32">
        <f>POWER('Excel applications 1'!F30,0.7)</f>
        <v>0</v>
      </c>
      <c r="AS30" s="82">
        <f>AE1*11.96*125</f>
        <v>1495</v>
      </c>
      <c r="AT30" s="82">
        <f t="shared" si="3"/>
        <v>412.40000000000003</v>
      </c>
      <c r="AU30" s="82">
        <f t="shared" si="27"/>
        <v>618.6</v>
      </c>
      <c r="AV30" s="82">
        <f>POWER('Excel applications 2'!D30,0.7)</f>
        <v>0</v>
      </c>
      <c r="AW30" s="82">
        <f>POWER('Excel applications 2'!E30,0.7)</f>
        <v>0</v>
      </c>
      <c r="AX30" s="82">
        <f>POWER('Excel applications 2'!F30,0.7)</f>
        <v>0</v>
      </c>
    </row>
    <row r="31" spans="2:50" ht="10.5" customHeight="1" x14ac:dyDescent="0.35">
      <c r="B31" s="73">
        <v>2</v>
      </c>
      <c r="C31" s="206" t="str">
        <f>VLOOKUP(169,T!A2:'T'!K2000,Order!B31+1)</f>
        <v>Language</v>
      </c>
      <c r="E31" s="2"/>
      <c r="L31" s="4" t="str">
        <f>VLOOKUP(142,T!A2:'T'!K2000,Order!B31+1)</f>
        <v>Upon receipt of your order you receive our invoice with our bank account.</v>
      </c>
      <c r="O31" s="123"/>
      <c r="P31" s="124"/>
      <c r="Q31" s="124"/>
      <c r="R31" s="124"/>
      <c r="S31" s="124"/>
      <c r="T31" s="124"/>
      <c r="U31" s="124"/>
      <c r="V31" s="240"/>
      <c r="AE31" s="32"/>
      <c r="AF31" s="32"/>
      <c r="AG31" s="32"/>
      <c r="AH31" s="32"/>
      <c r="AI31" s="32"/>
      <c r="AJ31" s="32"/>
      <c r="AL31" s="83">
        <f>AE1*11.96*125</f>
        <v>1495</v>
      </c>
      <c r="AM31" s="83">
        <f t="shared" si="29"/>
        <v>412.40000000000003</v>
      </c>
      <c r="AN31" s="83">
        <f t="shared" si="30"/>
        <v>618.6</v>
      </c>
      <c r="AO31" s="83">
        <f>POWER('Excel applications 1'!D31,0.7)</f>
        <v>0</v>
      </c>
      <c r="AP31" s="83">
        <f>POWER('Excel applications 1'!E31,0.7)</f>
        <v>0</v>
      </c>
      <c r="AQ31" s="83">
        <f>POWER('Excel applications 1'!F31,0.7)</f>
        <v>0</v>
      </c>
      <c r="AS31" s="32">
        <f>AE1*11.96*125</f>
        <v>1495</v>
      </c>
      <c r="AT31" s="32">
        <f t="shared" si="3"/>
        <v>412.40000000000003</v>
      </c>
      <c r="AU31" s="32">
        <f t="shared" si="27"/>
        <v>618.6</v>
      </c>
      <c r="AV31" s="32">
        <f>POWER('Excel applications 2'!D31,0.7)</f>
        <v>0</v>
      </c>
      <c r="AW31" s="32">
        <f>POWER('Excel applications 2'!E31,0.7)</f>
        <v>0</v>
      </c>
      <c r="AX31" s="32">
        <f>POWER('Excel applications 2'!F31,0.7)</f>
        <v>0</v>
      </c>
    </row>
    <row r="32" spans="2:50" ht="10.5" customHeight="1" x14ac:dyDescent="0.35">
      <c r="E32" s="2"/>
      <c r="L32" s="4" t="str">
        <f>VLOOKUP(143,T!A2:'T'!K2000,Order!B31+1)</f>
        <v>If you order Excel applications, we need additional your company-logo as bitmap by E-Mail.</v>
      </c>
      <c r="O32" s="123"/>
      <c r="P32" s="252"/>
      <c r="Q32" s="124"/>
      <c r="R32" s="124"/>
      <c r="S32" s="124"/>
      <c r="T32" s="124"/>
      <c r="U32" s="124"/>
      <c r="V32" s="240"/>
      <c r="AE32" s="32"/>
      <c r="AF32" s="32"/>
      <c r="AG32" s="32"/>
      <c r="AH32" s="32"/>
      <c r="AI32" s="32"/>
      <c r="AJ32" s="32"/>
      <c r="AL32" s="32">
        <f>AE1*23.96*125</f>
        <v>2995</v>
      </c>
      <c r="AM32" s="82">
        <f t="shared" si="29"/>
        <v>787.4</v>
      </c>
      <c r="AN32" s="32">
        <f t="shared" si="30"/>
        <v>1181.0999999999999</v>
      </c>
      <c r="AO32" s="82">
        <f>POWER('Excel applications 1'!D32,0.7)</f>
        <v>0</v>
      </c>
      <c r="AP32" s="82">
        <f>POWER('Excel applications 1'!E32,0.7)</f>
        <v>0</v>
      </c>
      <c r="AQ32" s="82">
        <f>POWER('Excel applications 1'!F32,0.7)</f>
        <v>0</v>
      </c>
      <c r="AS32" s="32">
        <f>AE1*11.96*125</f>
        <v>1495</v>
      </c>
      <c r="AT32" s="32">
        <f t="shared" si="3"/>
        <v>412.40000000000003</v>
      </c>
      <c r="AU32" s="32">
        <f t="shared" si="27"/>
        <v>618.6</v>
      </c>
      <c r="AV32" s="32">
        <f>POWER('Excel applications 2'!D32,0.7)</f>
        <v>0</v>
      </c>
      <c r="AW32" s="32">
        <f>POWER('Excel applications 2'!E32,0.7)</f>
        <v>0</v>
      </c>
      <c r="AX32" s="32">
        <f>POWER('Excel applications 2'!F32,0.7)</f>
        <v>0</v>
      </c>
    </row>
    <row r="33" spans="2:50" ht="10.5" customHeight="1" x14ac:dyDescent="0.35">
      <c r="B33" s="89">
        <v>1</v>
      </c>
      <c r="C33" s="243" t="s">
        <v>888</v>
      </c>
      <c r="D33" s="246">
        <v>1</v>
      </c>
      <c r="L33" s="11"/>
      <c r="O33" s="123"/>
      <c r="P33" s="124"/>
      <c r="Q33" s="124"/>
      <c r="R33" s="124"/>
      <c r="S33" s="124"/>
      <c r="T33" s="124"/>
      <c r="U33" s="124"/>
      <c r="V33" s="240"/>
      <c r="AE33" s="2"/>
      <c r="AF33" s="2"/>
      <c r="AG33" s="2"/>
      <c r="AH33" s="2"/>
      <c r="AI33" s="2"/>
      <c r="AJ33" s="2"/>
      <c r="AL33" s="32">
        <f>AE1*23.96*125</f>
        <v>2995</v>
      </c>
      <c r="AM33" s="32">
        <f t="shared" si="29"/>
        <v>787.4</v>
      </c>
      <c r="AN33" s="32">
        <f t="shared" ref="AN33:AN35" si="31">1.5*AM33</f>
        <v>1181.0999999999999</v>
      </c>
      <c r="AO33" s="32">
        <f>POWER('Excel applications 1'!D33,0.7)</f>
        <v>0</v>
      </c>
      <c r="AP33" s="32">
        <f>POWER('Excel applications 1'!E33,0.7)</f>
        <v>0</v>
      </c>
      <c r="AQ33" s="32">
        <f>POWER('Excel applications 1'!F33,0.7)</f>
        <v>0</v>
      </c>
      <c r="AS33" s="32">
        <f>AE1*11.96*125</f>
        <v>1495</v>
      </c>
      <c r="AT33" s="32">
        <f t="shared" si="3"/>
        <v>412.40000000000003</v>
      </c>
      <c r="AU33" s="32">
        <f t="shared" si="27"/>
        <v>618.6</v>
      </c>
      <c r="AV33" s="32">
        <f>POWER('Excel applications 2'!D33,0.7)</f>
        <v>0</v>
      </c>
      <c r="AW33" s="32">
        <f>POWER('Excel applications 2'!E33,0.7)</f>
        <v>0</v>
      </c>
      <c r="AX33" s="32">
        <f>POWER('Excel applications 2'!F33,0.7)</f>
        <v>0</v>
      </c>
    </row>
    <row r="34" spans="2:50" ht="10.5" customHeight="1" x14ac:dyDescent="0.35">
      <c r="B34" s="91">
        <v>2</v>
      </c>
      <c r="C34" s="244" t="s">
        <v>1078</v>
      </c>
      <c r="D34" s="246">
        <f>1.02/0.916</f>
        <v>1.1135371179039302</v>
      </c>
      <c r="L34" s="164" t="str">
        <f>VLOOKUP(134,T!A2:'T'!K2000,Order!B31+1)</f>
        <v>Would you inquire the minimum of quantity please!</v>
      </c>
      <c r="O34" s="123"/>
      <c r="P34" s="124"/>
      <c r="Q34" s="124"/>
      <c r="R34" s="124"/>
      <c r="S34" s="124"/>
      <c r="T34" s="124"/>
      <c r="U34" s="124"/>
      <c r="V34" s="240"/>
      <c r="AE34" s="2"/>
      <c r="AF34" s="2"/>
      <c r="AG34" s="2"/>
      <c r="AH34" s="2"/>
      <c r="AI34" s="2"/>
      <c r="AJ34" s="2"/>
      <c r="AL34" s="32">
        <f>AE1*23.96*125</f>
        <v>2995</v>
      </c>
      <c r="AM34" s="32">
        <f t="shared" si="29"/>
        <v>787.4</v>
      </c>
      <c r="AN34" s="32">
        <f t="shared" si="31"/>
        <v>1181.0999999999999</v>
      </c>
      <c r="AO34" s="32">
        <f>POWER('Excel applications 1'!D34,0.7)</f>
        <v>0</v>
      </c>
      <c r="AP34" s="32">
        <f>POWER('Excel applications 1'!E34,0.7)</f>
        <v>0</v>
      </c>
      <c r="AQ34" s="32">
        <f>POWER('Excel applications 1'!F34,0.7)</f>
        <v>0</v>
      </c>
      <c r="AS34" s="32">
        <f>AE1*11.96*125</f>
        <v>1495</v>
      </c>
      <c r="AT34" s="83">
        <f t="shared" si="3"/>
        <v>412.40000000000003</v>
      </c>
      <c r="AU34" s="32">
        <f t="shared" si="27"/>
        <v>618.6</v>
      </c>
      <c r="AV34" s="32">
        <f>POWER('Excel applications 2'!D34,0.7)</f>
        <v>0</v>
      </c>
      <c r="AW34" s="32">
        <f>POWER('Excel applications 2'!E34,0.7)</f>
        <v>0</v>
      </c>
      <c r="AX34" s="32">
        <f>POWER('Excel applications 2'!F34,0.7)</f>
        <v>0</v>
      </c>
    </row>
    <row r="35" spans="2:50" ht="10.5" customHeight="1" x14ac:dyDescent="0.35">
      <c r="B35" s="93">
        <v>3</v>
      </c>
      <c r="C35" s="245" t="s">
        <v>1079</v>
      </c>
      <c r="D35" s="246">
        <f>1.02/0.7795</f>
        <v>1.308531109685696</v>
      </c>
      <c r="O35" s="123"/>
      <c r="P35" s="124"/>
      <c r="Q35" s="124"/>
      <c r="R35" s="124"/>
      <c r="S35" s="124"/>
      <c r="T35" s="124"/>
      <c r="U35" s="124"/>
      <c r="V35" s="240"/>
      <c r="AL35" s="32">
        <f>AE1*23.96*125</f>
        <v>2995</v>
      </c>
      <c r="AM35" s="32">
        <f t="shared" si="29"/>
        <v>787.4</v>
      </c>
      <c r="AN35" s="32">
        <f t="shared" si="31"/>
        <v>1181.0999999999999</v>
      </c>
      <c r="AO35" s="32">
        <f>POWER('Excel applications 1'!D35,0.7)</f>
        <v>0</v>
      </c>
      <c r="AP35" s="32">
        <f>POWER('Excel applications 1'!E35,0.7)</f>
        <v>0</v>
      </c>
      <c r="AQ35" s="32">
        <f>POWER('Excel applications 1'!F35,0.7)</f>
        <v>0</v>
      </c>
      <c r="AS35" s="82">
        <f>AE1*23.96*125</f>
        <v>2995</v>
      </c>
      <c r="AT35" s="32">
        <f t="shared" si="3"/>
        <v>787.4</v>
      </c>
      <c r="AU35" s="82">
        <f t="shared" si="27"/>
        <v>1181.0999999999999</v>
      </c>
      <c r="AV35" s="82">
        <f>POWER('Excel applications 2'!D35,0.7)</f>
        <v>0</v>
      </c>
      <c r="AW35" s="82">
        <f>POWER('Excel applications 2'!E35,0.7)</f>
        <v>0</v>
      </c>
      <c r="AX35" s="82">
        <f>POWER('Excel applications 2'!F35,0.7)</f>
        <v>0</v>
      </c>
    </row>
    <row r="36" spans="2:50" ht="10.5" customHeight="1" x14ac:dyDescent="0.35">
      <c r="B36" s="73">
        <v>1</v>
      </c>
      <c r="C36" s="206" t="str">
        <f>VLOOKUP(224,T!A2:'T'!K2000,Order!B31+1)</f>
        <v>Currency</v>
      </c>
      <c r="E36" s="119"/>
      <c r="F36" s="120"/>
      <c r="G36" s="120"/>
      <c r="H36" s="120"/>
      <c r="I36" s="121" t="str">
        <f>VLOOKUP(176,T!A2:'T'!K2000,Order!B31+1)</f>
        <v>Your selection:</v>
      </c>
      <c r="J36" s="121"/>
      <c r="K36" s="121"/>
      <c r="L36" s="122"/>
      <c r="O36" s="123"/>
      <c r="P36" s="124"/>
      <c r="Q36" s="124"/>
      <c r="R36" s="124"/>
      <c r="S36" s="124"/>
      <c r="T36" s="124"/>
      <c r="U36" s="124"/>
      <c r="V36" s="240"/>
      <c r="AJ36" s="32"/>
      <c r="AK36" s="32"/>
      <c r="AL36" s="32">
        <f>AE1*35.96*125</f>
        <v>4495</v>
      </c>
      <c r="AM36" s="83">
        <f t="shared" si="29"/>
        <v>1162.3999999999999</v>
      </c>
      <c r="AN36" s="32">
        <f t="shared" ref="AN36" si="32">1.5*AM36</f>
        <v>1743.6</v>
      </c>
      <c r="AO36" s="83">
        <f>POWER('Excel applications 1'!D36,0.7)</f>
        <v>0</v>
      </c>
      <c r="AP36" s="83">
        <f>POWER('Excel applications 1'!E36,0.7)</f>
        <v>0</v>
      </c>
      <c r="AQ36" s="83">
        <f>POWER('Excel applications 1'!F36,0.7)</f>
        <v>0</v>
      </c>
      <c r="AS36" s="32">
        <f>AE1*23.96*125</f>
        <v>2995</v>
      </c>
      <c r="AT36" s="32">
        <f t="shared" si="3"/>
        <v>787.4</v>
      </c>
      <c r="AU36" s="32">
        <f t="shared" si="27"/>
        <v>1181.0999999999999</v>
      </c>
      <c r="AV36" s="32">
        <f>POWER('Excel applications 2'!D36,0.7)</f>
        <v>0</v>
      </c>
      <c r="AW36" s="32">
        <f>POWER('Excel applications 2'!E36,0.7)</f>
        <v>0</v>
      </c>
      <c r="AX36" s="32">
        <f>POWER('Excel applications 2'!F36,0.7)</f>
        <v>0</v>
      </c>
    </row>
    <row r="37" spans="2:50" ht="10.5" customHeight="1" x14ac:dyDescent="0.35">
      <c r="E37" s="123"/>
      <c r="F37" s="124"/>
      <c r="G37" s="124"/>
      <c r="H37" s="124"/>
      <c r="I37" s="127" t="str">
        <f>CONCATENATE(VLOOKUP(177,T!A2:'T'!K2000,Order!B31+1),": High-language applications")</f>
        <v>From the page: High-language applications</v>
      </c>
      <c r="J37" s="127" t="str">
        <f>VLOOKUP(B36,B33:D35,2)</f>
        <v>CHF</v>
      </c>
      <c r="K37" s="262">
        <f>'High-language applications'!H29</f>
        <v>0</v>
      </c>
      <c r="L37" s="263"/>
      <c r="O37" s="123"/>
      <c r="P37" s="124"/>
      <c r="Q37" s="124"/>
      <c r="R37" s="124"/>
      <c r="S37" s="124"/>
      <c r="T37" s="124"/>
      <c r="U37" s="124"/>
      <c r="V37" s="240"/>
      <c r="AJ37" s="32"/>
      <c r="AK37" s="32"/>
      <c r="AL37" s="82">
        <f>AE1*23.96*125</f>
        <v>2995</v>
      </c>
      <c r="AM37" s="82">
        <f t="shared" si="29"/>
        <v>787.4</v>
      </c>
      <c r="AN37" s="82">
        <f t="shared" ref="AN37:AN39" si="33">1.5*AM37</f>
        <v>1181.0999999999999</v>
      </c>
      <c r="AO37" s="82">
        <f>POWER('Excel applications 1'!D37,0.7)</f>
        <v>0</v>
      </c>
      <c r="AP37" s="82">
        <f>POWER('Excel applications 1'!E37,0.7)</f>
        <v>0</v>
      </c>
      <c r="AQ37" s="82">
        <f>POWER('Excel applications 1'!F37,0.7)</f>
        <v>0</v>
      </c>
      <c r="AS37" s="83">
        <f>AE1*23.96*125</f>
        <v>2995</v>
      </c>
      <c r="AT37" s="32">
        <f t="shared" si="3"/>
        <v>787.4</v>
      </c>
      <c r="AU37" s="83">
        <f t="shared" si="27"/>
        <v>1181.0999999999999</v>
      </c>
      <c r="AV37" s="83">
        <f>POWER('Excel applications 2'!D37,0.7)</f>
        <v>0</v>
      </c>
      <c r="AW37" s="83">
        <f>POWER('Excel applications 2'!E37,0.7)</f>
        <v>0</v>
      </c>
      <c r="AX37" s="83">
        <f>POWER('Excel applications 2'!F37,0.7)</f>
        <v>0</v>
      </c>
    </row>
    <row r="38" spans="2:50" ht="10.5" customHeight="1" x14ac:dyDescent="0.35">
      <c r="E38" s="125"/>
      <c r="F38" s="126"/>
      <c r="G38" s="126"/>
      <c r="H38" s="126"/>
      <c r="I38" s="127" t="str">
        <f>CONCATENATE(VLOOKUP(177,T!A2:'T'!K2000,Order!B31+1),": Excel applications 1")</f>
        <v>From the page: Excel applications 1</v>
      </c>
      <c r="J38" s="127" t="str">
        <f>VLOOKUP(B36,B33:D35,2)</f>
        <v>CHF</v>
      </c>
      <c r="K38" s="262">
        <f>'Excel applications 1'!H53</f>
        <v>0</v>
      </c>
      <c r="L38" s="263"/>
      <c r="O38" s="123"/>
      <c r="P38" s="124"/>
      <c r="Q38" s="124"/>
      <c r="R38" s="124"/>
      <c r="S38" s="124"/>
      <c r="T38" s="124"/>
      <c r="U38" s="124"/>
      <c r="V38" s="240"/>
      <c r="AJ38" s="32"/>
      <c r="AK38" s="32"/>
      <c r="AL38" s="32">
        <f>AE1*23.96*125</f>
        <v>2995</v>
      </c>
      <c r="AM38" s="32">
        <f t="shared" si="29"/>
        <v>787.4</v>
      </c>
      <c r="AN38" s="32">
        <f t="shared" si="33"/>
        <v>1181.0999999999999</v>
      </c>
      <c r="AO38" s="32">
        <f>POWER('Excel applications 1'!D38,0.7)</f>
        <v>0</v>
      </c>
      <c r="AP38" s="32">
        <f>POWER('Excel applications 1'!E38,0.7)</f>
        <v>0</v>
      </c>
      <c r="AQ38" s="32">
        <f>POWER('Excel applications 1'!F38,0.7)</f>
        <v>0</v>
      </c>
      <c r="AS38" s="32">
        <f>AE1*23.96*125</f>
        <v>2995</v>
      </c>
      <c r="AT38" s="82">
        <f t="shared" si="3"/>
        <v>787.4</v>
      </c>
      <c r="AU38" s="32">
        <f t="shared" si="27"/>
        <v>1181.0999999999999</v>
      </c>
      <c r="AV38" s="32">
        <f>POWER('Excel applications 2'!D38,0.7)</f>
        <v>0</v>
      </c>
      <c r="AW38" s="32">
        <f>POWER('Excel applications 2'!E38,0.7)</f>
        <v>0</v>
      </c>
      <c r="AX38" s="32">
        <f>POWER('Excel applications 2'!F38,0.7)</f>
        <v>0</v>
      </c>
    </row>
    <row r="39" spans="2:50" ht="10.5" customHeight="1" x14ac:dyDescent="0.35">
      <c r="E39" s="125"/>
      <c r="F39" s="126"/>
      <c r="G39" s="126"/>
      <c r="H39" s="126"/>
      <c r="I39" s="127" t="str">
        <f>CONCATENATE(VLOOKUP(177,T!A2:'T'!K2000,Order!B31+1),": Excel applications 2")</f>
        <v>From the page: Excel applications 2</v>
      </c>
      <c r="J39" s="127" t="str">
        <f>VLOOKUP(B36,B33:D35,2)</f>
        <v>CHF</v>
      </c>
      <c r="K39" s="262">
        <f>'Excel applications 2'!H55</f>
        <v>0</v>
      </c>
      <c r="L39" s="263"/>
      <c r="O39" s="123"/>
      <c r="P39" s="124"/>
      <c r="Q39" s="124"/>
      <c r="R39" s="124"/>
      <c r="S39" s="124"/>
      <c r="T39" s="124"/>
      <c r="U39" s="124"/>
      <c r="V39" s="240"/>
      <c r="AJ39" s="32"/>
      <c r="AK39" s="32"/>
      <c r="AL39" s="32">
        <f>AE1*23.96*125</f>
        <v>2995</v>
      </c>
      <c r="AM39" s="32">
        <f t="shared" si="29"/>
        <v>787.4</v>
      </c>
      <c r="AN39" s="32">
        <f t="shared" si="33"/>
        <v>1181.0999999999999</v>
      </c>
      <c r="AO39" s="32">
        <f>POWER('Excel applications 1'!D39,0.7)</f>
        <v>0</v>
      </c>
      <c r="AP39" s="32">
        <f>POWER('Excel applications 1'!E39,0.7)</f>
        <v>0</v>
      </c>
      <c r="AQ39" s="32">
        <f>POWER('Excel applications 1'!F39,0.7)</f>
        <v>0</v>
      </c>
      <c r="AS39" s="85">
        <f>AE1*23.96*125</f>
        <v>2995</v>
      </c>
      <c r="AT39" s="32">
        <f t="shared" si="3"/>
        <v>787.4</v>
      </c>
      <c r="AU39" s="85">
        <f t="shared" si="27"/>
        <v>1181.0999999999999</v>
      </c>
      <c r="AV39" s="85">
        <f>POWER('Excel applications 2'!D39,0.7)</f>
        <v>0</v>
      </c>
      <c r="AW39" s="85">
        <f>POWER('Excel applications 2'!E39,0.7)</f>
        <v>0</v>
      </c>
      <c r="AX39" s="85">
        <f>POWER('Excel applications 2'!F39,0.7)</f>
        <v>0</v>
      </c>
    </row>
    <row r="40" spans="2:50" ht="10.5" customHeight="1" x14ac:dyDescent="0.35">
      <c r="E40" s="125"/>
      <c r="F40" s="126"/>
      <c r="G40" s="126"/>
      <c r="H40" s="126"/>
      <c r="I40" s="127"/>
      <c r="J40" s="127"/>
      <c r="K40" s="127"/>
      <c r="L40" s="128"/>
      <c r="O40" s="123"/>
      <c r="P40" s="124"/>
      <c r="Q40" s="124"/>
      <c r="R40" s="124"/>
      <c r="S40" s="124"/>
      <c r="T40" s="124"/>
      <c r="U40" s="124"/>
      <c r="V40" s="240"/>
      <c r="AJ40" s="32"/>
      <c r="AK40" s="32"/>
      <c r="AL40" s="32">
        <f>AE1*23.96*125</f>
        <v>2995</v>
      </c>
      <c r="AM40" s="32">
        <f t="shared" si="29"/>
        <v>787.4</v>
      </c>
      <c r="AN40" s="32">
        <f t="shared" ref="AN40" si="34">1.5*AM40</f>
        <v>1181.0999999999999</v>
      </c>
      <c r="AO40" s="32">
        <f>POWER('Excel applications 1'!D40,0.7)</f>
        <v>0</v>
      </c>
      <c r="AP40" s="32">
        <f>POWER('Excel applications 1'!E40,0.7)</f>
        <v>0</v>
      </c>
      <c r="AQ40" s="32">
        <f>POWER('Excel applications 1'!F40,0.7)</f>
        <v>0</v>
      </c>
      <c r="AS40" s="86">
        <f>AE1*23.96*125</f>
        <v>2995</v>
      </c>
      <c r="AT40" s="32">
        <f t="shared" si="3"/>
        <v>787.4</v>
      </c>
      <c r="AU40" s="86">
        <f t="shared" si="27"/>
        <v>1181.0999999999999</v>
      </c>
      <c r="AV40" s="86">
        <f>POWER('Excel applications 2'!D40,0.7)</f>
        <v>0</v>
      </c>
      <c r="AW40" s="86">
        <f>POWER('Excel applications 2'!E40,0.7)</f>
        <v>0</v>
      </c>
      <c r="AX40" s="86">
        <f>POWER('Excel applications 2'!F40,0.7)</f>
        <v>0</v>
      </c>
    </row>
    <row r="41" spans="2:50" ht="10.5" customHeight="1" x14ac:dyDescent="0.35">
      <c r="E41" s="129"/>
      <c r="F41" s="130"/>
      <c r="G41" s="130"/>
      <c r="H41" s="130"/>
      <c r="I41" s="131" t="str">
        <f>VLOOKUP(133,T!A2:'T'!K2000,Order!B31+1)</f>
        <v>Total net, prepayment:</v>
      </c>
      <c r="J41" s="131" t="str">
        <f>VLOOKUP(B36,B33:D35,2)</f>
        <v>CHF</v>
      </c>
      <c r="K41" s="264">
        <f>SUM(K37:K39)</f>
        <v>0</v>
      </c>
      <c r="L41" s="265"/>
      <c r="O41" s="123"/>
      <c r="P41" s="124"/>
      <c r="Q41" s="124"/>
      <c r="R41" s="124"/>
      <c r="S41" s="124"/>
      <c r="T41" s="124"/>
      <c r="U41" s="124"/>
      <c r="V41" s="240"/>
      <c r="AJ41" s="32"/>
      <c r="AK41" s="32"/>
      <c r="AL41" s="32">
        <f>AE1*23.96*125</f>
        <v>2995</v>
      </c>
      <c r="AM41" s="32">
        <f t="shared" si="29"/>
        <v>787.4</v>
      </c>
      <c r="AN41" s="32">
        <f>1.5*AM41</f>
        <v>1181.0999999999999</v>
      </c>
      <c r="AO41" s="32">
        <f>POWER('Excel applications 1'!D41,0.7)</f>
        <v>0</v>
      </c>
      <c r="AP41" s="32">
        <f>POWER('Excel applications 1'!E41,0.7)</f>
        <v>0</v>
      </c>
      <c r="AQ41" s="32">
        <f>POWER('Excel applications 1'!F41,0.7)</f>
        <v>0</v>
      </c>
      <c r="AS41" s="32">
        <f>AE1*23.96*125</f>
        <v>2995</v>
      </c>
      <c r="AT41" s="32">
        <f t="shared" si="3"/>
        <v>787.4</v>
      </c>
      <c r="AU41" s="32">
        <f t="shared" si="27"/>
        <v>1181.0999999999999</v>
      </c>
      <c r="AV41" s="32">
        <f>POWER('Excel applications 2'!D41,0.7)</f>
        <v>0</v>
      </c>
      <c r="AW41" s="32">
        <f>POWER('Excel applications 2'!E41,0.7)</f>
        <v>0</v>
      </c>
      <c r="AX41" s="32">
        <f>POWER('Excel applications 2'!F41,0.7)</f>
        <v>0</v>
      </c>
    </row>
    <row r="42" spans="2:50" ht="10.5" customHeight="1" x14ac:dyDescent="0.35">
      <c r="C42" s="118"/>
      <c r="D42" s="118"/>
      <c r="O42" s="123"/>
      <c r="P42" s="124"/>
      <c r="Q42" s="124"/>
      <c r="R42" s="124"/>
      <c r="S42" s="124"/>
      <c r="T42" s="124"/>
      <c r="U42" s="124"/>
      <c r="V42" s="240"/>
      <c r="AJ42" s="32"/>
      <c r="AK42" s="32"/>
      <c r="AL42" s="32">
        <f>AE1*23.96*125</f>
        <v>2995</v>
      </c>
      <c r="AM42" s="32">
        <f t="shared" si="29"/>
        <v>787.4</v>
      </c>
      <c r="AN42" s="32">
        <f t="shared" ref="AN42" si="35">1.5*AM42</f>
        <v>1181.0999999999999</v>
      </c>
      <c r="AO42" s="32">
        <f>POWER('Excel applications 1'!D42,0.7)</f>
        <v>0</v>
      </c>
      <c r="AP42" s="32">
        <f>POWER('Excel applications 1'!E42,0.7)</f>
        <v>0</v>
      </c>
      <c r="AQ42" s="32">
        <f>POWER('Excel applications 1'!F42,0.7)</f>
        <v>0</v>
      </c>
      <c r="AS42" s="32">
        <f>AE1*23.96*125</f>
        <v>2995</v>
      </c>
      <c r="AT42" s="32">
        <f t="shared" si="3"/>
        <v>787.4</v>
      </c>
      <c r="AU42" s="32">
        <f t="shared" ref="AU42:AU46" si="36">1.5*AT42</f>
        <v>1181.0999999999999</v>
      </c>
      <c r="AV42" s="32">
        <f>POWER('Excel applications 2'!D42,0.7)</f>
        <v>0</v>
      </c>
      <c r="AW42" s="32">
        <f>POWER('Excel applications 2'!E42,0.7)</f>
        <v>0</v>
      </c>
      <c r="AX42" s="32">
        <f>POWER('Excel applications 2'!F42,0.7)</f>
        <v>0</v>
      </c>
    </row>
    <row r="43" spans="2:50" ht="10.5" customHeight="1" x14ac:dyDescent="0.35">
      <c r="C43" s="118"/>
      <c r="D43" s="118"/>
      <c r="G43" s="4" t="str">
        <f>VLOOKUP(144,T!A2:'T'!K2000,Order!B31+1)</f>
        <v>Order by E-Mail please to:</v>
      </c>
      <c r="H43" s="207" t="s">
        <v>46</v>
      </c>
      <c r="I43" s="110"/>
      <c r="J43" s="87"/>
      <c r="K43" s="87"/>
      <c r="L43" s="87"/>
      <c r="O43" s="123"/>
      <c r="P43" s="124"/>
      <c r="Q43" s="124"/>
      <c r="R43" s="124"/>
      <c r="S43" s="124"/>
      <c r="T43" s="124"/>
      <c r="U43" s="124"/>
      <c r="V43" s="240"/>
      <c r="AJ43" s="32"/>
      <c r="AK43" s="32"/>
      <c r="AL43" s="32">
        <f>AE1*23.96*125</f>
        <v>2995</v>
      </c>
      <c r="AM43" s="83">
        <f t="shared" si="29"/>
        <v>787.4</v>
      </c>
      <c r="AN43" s="32">
        <f>1.5*AM43</f>
        <v>1181.0999999999999</v>
      </c>
      <c r="AO43" s="83">
        <f>POWER('Excel applications 1'!D43,0.7)</f>
        <v>0</v>
      </c>
      <c r="AP43" s="83">
        <f>POWER('Excel applications 1'!E43,0.7)</f>
        <v>0</v>
      </c>
      <c r="AQ43" s="83">
        <f>POWER('Excel applications 1'!F43,0.7)</f>
        <v>0</v>
      </c>
      <c r="AS43" s="32">
        <f>AE1*23.96*125</f>
        <v>2995</v>
      </c>
      <c r="AT43" s="32">
        <f t="shared" si="3"/>
        <v>787.4</v>
      </c>
      <c r="AU43" s="32">
        <f t="shared" si="36"/>
        <v>1181.0999999999999</v>
      </c>
      <c r="AV43" s="32">
        <f>POWER('Excel applications 2'!D43,0.7)</f>
        <v>0</v>
      </c>
      <c r="AW43" s="32">
        <f>POWER('Excel applications 2'!E43,0.7)</f>
        <v>0</v>
      </c>
      <c r="AX43" s="32">
        <f>POWER('Excel applications 2'!F43,0.7)</f>
        <v>0</v>
      </c>
    </row>
    <row r="44" spans="2:50" ht="10.5" customHeight="1" x14ac:dyDescent="0.35">
      <c r="C44" s="118"/>
      <c r="D44" s="118"/>
      <c r="E44" s="118"/>
      <c r="G44" s="4" t="str">
        <f>VLOOKUP(145,T!A2:'T'!K2000,Order!B31+1)</f>
        <v>Date:</v>
      </c>
      <c r="H44" s="261">
        <f ca="1">TODAY()</f>
        <v>46028</v>
      </c>
      <c r="I44" s="261"/>
      <c r="J44" s="109"/>
      <c r="K44" s="109"/>
      <c r="L44" s="109"/>
      <c r="O44" s="123"/>
      <c r="P44" s="124"/>
      <c r="Q44" s="124"/>
      <c r="R44" s="124"/>
      <c r="S44" s="124"/>
      <c r="T44" s="124"/>
      <c r="U44" s="124"/>
      <c r="V44" s="240"/>
      <c r="AJ44" s="32"/>
      <c r="AK44" s="32"/>
      <c r="AL44" s="82">
        <f>AE1*35.96*125</f>
        <v>4495</v>
      </c>
      <c r="AM44" s="82">
        <f t="shared" si="29"/>
        <v>1162.3999999999999</v>
      </c>
      <c r="AN44" s="82">
        <f>1.5*AM44</f>
        <v>1743.6</v>
      </c>
      <c r="AO44" s="82">
        <f>POWER('Excel applications 1'!D44,0.7)</f>
        <v>0</v>
      </c>
      <c r="AP44" s="82">
        <f>POWER('Excel applications 1'!E44,0.7)</f>
        <v>0</v>
      </c>
      <c r="AQ44" s="82">
        <f>POWER('Excel applications 1'!F44,0.7)</f>
        <v>0</v>
      </c>
      <c r="AS44" s="32">
        <f>AE1*23.96*125</f>
        <v>2995</v>
      </c>
      <c r="AT44" s="32">
        <f t="shared" si="3"/>
        <v>787.4</v>
      </c>
      <c r="AU44" s="32">
        <f t="shared" si="36"/>
        <v>1181.0999999999999</v>
      </c>
      <c r="AV44" s="32">
        <f>POWER('Excel applications 2'!D44,0.7)</f>
        <v>0</v>
      </c>
      <c r="AW44" s="32">
        <f>POWER('Excel applications 2'!E44,0.7)</f>
        <v>0</v>
      </c>
      <c r="AX44" s="32">
        <f>POWER('Excel applications 2'!F44,0.7)</f>
        <v>0</v>
      </c>
    </row>
    <row r="45" spans="2:50" ht="10.5" customHeight="1" x14ac:dyDescent="0.35">
      <c r="B45" s="1" t="s">
        <v>1048</v>
      </c>
      <c r="C45" s="118"/>
      <c r="D45" s="118"/>
      <c r="E45" s="118"/>
      <c r="G45" s="4" t="str">
        <f>VLOOKUP(146,T!A2:'T'!K2000,Order!B31+1)</f>
        <v>Company:</v>
      </c>
      <c r="H45" s="111"/>
      <c r="I45" s="112"/>
      <c r="J45" s="9"/>
      <c r="K45" s="9"/>
      <c r="L45" s="9"/>
      <c r="O45" s="123"/>
      <c r="P45" s="124"/>
      <c r="Q45" s="124"/>
      <c r="R45" s="124"/>
      <c r="S45" s="124"/>
      <c r="T45" s="124"/>
      <c r="U45" s="124"/>
      <c r="V45" s="240"/>
      <c r="AJ45" s="32"/>
      <c r="AK45" s="32"/>
      <c r="AL45" s="83">
        <f>AE1*35.96*125</f>
        <v>4495</v>
      </c>
      <c r="AM45" s="83">
        <f t="shared" si="29"/>
        <v>1162.3999999999999</v>
      </c>
      <c r="AN45" s="83">
        <f>1.5*AM45</f>
        <v>1743.6</v>
      </c>
      <c r="AO45" s="83">
        <f>POWER('Excel applications 1'!D45,0.7)</f>
        <v>0</v>
      </c>
      <c r="AP45" s="83">
        <f>POWER('Excel applications 1'!E45,0.7)</f>
        <v>0</v>
      </c>
      <c r="AQ45" s="83">
        <f>POWER('Excel applications 1'!F45,0.7)</f>
        <v>0</v>
      </c>
      <c r="AS45" s="83">
        <f>AE1*23.96*125</f>
        <v>2995</v>
      </c>
      <c r="AT45" s="83">
        <f t="shared" si="3"/>
        <v>787.4</v>
      </c>
      <c r="AU45" s="83">
        <f t="shared" si="36"/>
        <v>1181.0999999999999</v>
      </c>
      <c r="AV45" s="83">
        <f>POWER('Excel applications 2'!D45,0.7)</f>
        <v>0</v>
      </c>
      <c r="AW45" s="83">
        <f>POWER('Excel applications 2'!E45,0.7)</f>
        <v>0</v>
      </c>
      <c r="AX45" s="83">
        <f>POWER('Excel applications 2'!F45,0.7)</f>
        <v>0</v>
      </c>
    </row>
    <row r="46" spans="2:50" ht="10.5" customHeight="1" x14ac:dyDescent="0.35">
      <c r="B46" s="1" t="s">
        <v>42</v>
      </c>
      <c r="C46" s="118"/>
      <c r="D46" s="118"/>
      <c r="E46" s="118"/>
      <c r="G46" s="4" t="str">
        <f>VLOOKUP(147,T!A2:'T'!K2000,Order!B31+1)</f>
        <v>Branch:</v>
      </c>
      <c r="H46" s="113"/>
      <c r="I46" s="114"/>
      <c r="J46" s="7"/>
      <c r="K46" s="7"/>
      <c r="L46" s="7"/>
      <c r="O46" s="123"/>
      <c r="P46" s="124"/>
      <c r="Q46" s="124"/>
      <c r="R46" s="124"/>
      <c r="S46" s="124"/>
      <c r="T46" s="124"/>
      <c r="U46" s="124"/>
      <c r="V46" s="240"/>
      <c r="AJ46" s="32"/>
      <c r="AK46" s="32"/>
      <c r="AL46" s="32">
        <f>AE1*35.96*125</f>
        <v>4495</v>
      </c>
      <c r="AM46" s="82">
        <f t="shared" si="29"/>
        <v>1162.3999999999999</v>
      </c>
      <c r="AN46" s="32">
        <f>1.5*AM46</f>
        <v>1743.6</v>
      </c>
      <c r="AO46" s="82">
        <f>POWER('Excel applications 1'!D46,0.7)</f>
        <v>0</v>
      </c>
      <c r="AP46" s="82">
        <f>POWER('Excel applications 1'!E46,0.7)</f>
        <v>0</v>
      </c>
      <c r="AQ46" s="82">
        <f>POWER('Excel applications 1'!F46,0.7)</f>
        <v>0</v>
      </c>
      <c r="AS46" s="32">
        <f>AE1*23.96*125</f>
        <v>2995</v>
      </c>
      <c r="AT46" s="32">
        <f t="shared" si="3"/>
        <v>787.4</v>
      </c>
      <c r="AU46" s="32">
        <f t="shared" si="36"/>
        <v>1181.0999999999999</v>
      </c>
      <c r="AV46" s="32">
        <f>POWER('Excel applications 2'!D46,0.7)</f>
        <v>0</v>
      </c>
      <c r="AW46" s="32">
        <f>POWER('Excel applications 2'!E46,0.7)</f>
        <v>0</v>
      </c>
      <c r="AX46" s="32">
        <f>POWER('Excel applications 2'!F46,0.7)</f>
        <v>0</v>
      </c>
    </row>
    <row r="47" spans="2:50" ht="10.5" customHeight="1" x14ac:dyDescent="0.35">
      <c r="B47" s="1" t="s">
        <v>726</v>
      </c>
      <c r="C47" s="118"/>
      <c r="D47" s="118"/>
      <c r="E47" s="118"/>
      <c r="G47" s="4" t="str">
        <f>VLOOKUP(148,T!A2:'T'!K2000,Order!B31+1)</f>
        <v>Project leader:</v>
      </c>
      <c r="H47" s="113"/>
      <c r="I47" s="114"/>
      <c r="J47" s="7"/>
      <c r="K47" s="7"/>
      <c r="L47" s="7"/>
      <c r="O47" s="123"/>
      <c r="P47" s="124"/>
      <c r="Q47" s="124"/>
      <c r="R47" s="124"/>
      <c r="S47" s="124"/>
      <c r="T47" s="124"/>
      <c r="U47" s="124"/>
      <c r="V47" s="240"/>
      <c r="AL47" s="83">
        <f>AE1*35.96*125</f>
        <v>4495</v>
      </c>
      <c r="AM47" s="83">
        <f t="shared" si="29"/>
        <v>1162.3999999999999</v>
      </c>
      <c r="AN47" s="83">
        <f>1.5*AM47</f>
        <v>1743.6</v>
      </c>
      <c r="AO47" s="83">
        <f>POWER('Excel applications 1'!D47,0.7)</f>
        <v>0</v>
      </c>
      <c r="AP47" s="83">
        <f>POWER('Excel applications 1'!E47,0.7)</f>
        <v>0</v>
      </c>
      <c r="AQ47" s="83">
        <f>POWER('Excel applications 1'!F47,0.7)</f>
        <v>0</v>
      </c>
      <c r="AS47" s="32">
        <f>AE1*23.96*125</f>
        <v>2995</v>
      </c>
      <c r="AT47" s="32">
        <f t="shared" si="3"/>
        <v>787.4</v>
      </c>
      <c r="AU47" s="32">
        <f t="shared" ref="AU47:AU49" si="37">1.5*AT47</f>
        <v>1181.0999999999999</v>
      </c>
      <c r="AV47" s="32">
        <f>POWER('Excel applications 2'!D47,0.7)</f>
        <v>0</v>
      </c>
      <c r="AW47" s="32">
        <f>POWER('Excel applications 2'!E47,0.7)</f>
        <v>0</v>
      </c>
      <c r="AX47" s="32">
        <f>POWER('Excel applications 2'!F47,0.7)</f>
        <v>0</v>
      </c>
    </row>
    <row r="48" spans="2:50" ht="10.5" customHeight="1" x14ac:dyDescent="0.35">
      <c r="B48" s="42" t="s">
        <v>43</v>
      </c>
      <c r="C48" s="118"/>
      <c r="D48" s="118"/>
      <c r="E48" s="118"/>
      <c r="F48" s="1"/>
      <c r="G48" s="4" t="str">
        <f>VLOOKUP(149,T!A2:'T'!K2000,Order!B31+1)</f>
        <v>Street:</v>
      </c>
      <c r="H48" s="113"/>
      <c r="I48" s="114"/>
      <c r="J48" s="7"/>
      <c r="K48" s="7"/>
      <c r="L48" s="7"/>
      <c r="O48" s="123"/>
      <c r="P48" s="124"/>
      <c r="Q48" s="124"/>
      <c r="R48" s="124"/>
      <c r="S48" s="124"/>
      <c r="T48" s="124"/>
      <c r="U48" s="124"/>
      <c r="V48" s="240"/>
      <c r="AS48" s="32">
        <f>AE1*23.96*125</f>
        <v>2995</v>
      </c>
      <c r="AT48" s="32">
        <f t="shared" si="3"/>
        <v>787.4</v>
      </c>
      <c r="AU48" s="32">
        <f t="shared" si="37"/>
        <v>1181.0999999999999</v>
      </c>
      <c r="AV48" s="32">
        <f>POWER('Excel applications 2'!D48,0.7)</f>
        <v>0</v>
      </c>
      <c r="AW48" s="32">
        <f>POWER('Excel applications 2'!E48,0.7)</f>
        <v>0</v>
      </c>
      <c r="AX48" s="32">
        <f>POWER('Excel applications 2'!F48,0.7)</f>
        <v>0</v>
      </c>
    </row>
    <row r="49" spans="1:50" ht="10.5" customHeight="1" x14ac:dyDescent="0.35">
      <c r="B49" s="42" t="s">
        <v>44</v>
      </c>
      <c r="C49" s="118"/>
      <c r="D49" s="118"/>
      <c r="E49" s="118"/>
      <c r="F49" s="1"/>
      <c r="G49" s="4" t="str">
        <f>VLOOKUP(150,T!A2:'T'!K2000,Order!B31+1)</f>
        <v>Country / ZIP / City:</v>
      </c>
      <c r="H49" s="113"/>
      <c r="I49" s="114"/>
      <c r="J49" s="7"/>
      <c r="K49" s="7"/>
      <c r="L49" s="7"/>
      <c r="O49" s="123"/>
      <c r="P49" s="124"/>
      <c r="Q49" s="124"/>
      <c r="R49" s="124"/>
      <c r="S49" s="124"/>
      <c r="T49" s="124"/>
      <c r="U49" s="124"/>
      <c r="V49" s="240"/>
      <c r="AS49" s="83">
        <f>AE1*23.96*125</f>
        <v>2995</v>
      </c>
      <c r="AT49" s="83">
        <f t="shared" si="3"/>
        <v>787.4</v>
      </c>
      <c r="AU49" s="83">
        <f t="shared" si="37"/>
        <v>1181.0999999999999</v>
      </c>
      <c r="AV49" s="83">
        <f>POWER('Excel applications 2'!D49,0.7)</f>
        <v>0</v>
      </c>
      <c r="AW49" s="83">
        <f>POWER('Excel applications 2'!E49,0.7)</f>
        <v>0</v>
      </c>
      <c r="AX49" s="83">
        <f>POWER('Excel applications 2'!F49,0.7)</f>
        <v>0</v>
      </c>
    </row>
    <row r="50" spans="1:50" s="42" customFormat="1" ht="10.5" customHeight="1" x14ac:dyDescent="0.35">
      <c r="A50" s="2"/>
      <c r="E50" s="118"/>
      <c r="F50" s="1"/>
      <c r="G50" s="4" t="str">
        <f>VLOOKUP(151,T!A2:'T'!K2000,Order!B31+1)</f>
        <v>Phone:</v>
      </c>
      <c r="H50" s="113"/>
      <c r="I50" s="114"/>
      <c r="J50" s="7"/>
      <c r="K50" s="7"/>
      <c r="L50" s="7"/>
      <c r="O50" s="123"/>
      <c r="P50" s="124"/>
      <c r="Q50" s="124"/>
      <c r="R50" s="124"/>
      <c r="S50" s="124"/>
      <c r="T50" s="124"/>
      <c r="U50" s="124"/>
      <c r="V50" s="240"/>
    </row>
    <row r="51" spans="1:50" s="42" customFormat="1" ht="10.5" customHeight="1" x14ac:dyDescent="0.35">
      <c r="A51" s="2"/>
      <c r="B51" s="117" t="s">
        <v>45</v>
      </c>
      <c r="G51" s="4" t="str">
        <f>VLOOKUP(152,T!A2:'T'!K2000,Order!B31+1)</f>
        <v>Fax:</v>
      </c>
      <c r="H51" s="113"/>
      <c r="I51" s="114"/>
      <c r="J51" s="7"/>
      <c r="K51" s="7"/>
      <c r="L51" s="7"/>
      <c r="O51" s="123"/>
      <c r="P51" s="124"/>
      <c r="Q51" s="124"/>
      <c r="R51" s="124"/>
      <c r="S51" s="124"/>
      <c r="T51" s="124"/>
      <c r="U51" s="124"/>
      <c r="V51" s="240"/>
      <c r="AL51" s="84">
        <f>AE1*14.4*125</f>
        <v>1800</v>
      </c>
      <c r="AM51" s="84"/>
      <c r="AN51" s="84"/>
      <c r="AO51" s="84"/>
      <c r="AP51" s="84"/>
      <c r="AQ51" s="84"/>
    </row>
    <row r="52" spans="1:50" ht="10.5" customHeight="1" x14ac:dyDescent="0.35">
      <c r="B52" s="117" t="s">
        <v>46</v>
      </c>
      <c r="G52" s="4" t="str">
        <f>VLOOKUP(153,T!A2:'T'!K2000,Order!B31+1)</f>
        <v>E-Mail:</v>
      </c>
      <c r="H52" s="113"/>
      <c r="I52" s="114"/>
      <c r="J52" s="7"/>
      <c r="K52" s="7"/>
      <c r="L52" s="7"/>
      <c r="O52" s="123"/>
      <c r="P52" s="124"/>
      <c r="Q52" s="124"/>
      <c r="R52" s="124"/>
      <c r="S52" s="124"/>
      <c r="T52" s="124"/>
      <c r="U52" s="124"/>
      <c r="V52" s="240"/>
      <c r="AS52" s="42"/>
      <c r="AT52" s="42"/>
      <c r="AU52" s="42"/>
      <c r="AV52" s="42"/>
      <c r="AW52" s="42"/>
      <c r="AX52" s="42"/>
    </row>
    <row r="53" spans="1:50" ht="10.5" customHeight="1" x14ac:dyDescent="0.35">
      <c r="B53" s="6" t="s">
        <v>847</v>
      </c>
      <c r="G53" s="4" t="str">
        <f>VLOOKUP(154,T!A2:'T'!K2000,Order!B31+1)</f>
        <v>Home page:</v>
      </c>
      <c r="H53" s="115"/>
      <c r="I53" s="116"/>
      <c r="J53" s="8"/>
      <c r="K53" s="8"/>
      <c r="L53" s="8"/>
      <c r="O53" s="123"/>
      <c r="P53" s="124"/>
      <c r="Q53" s="124"/>
      <c r="R53" s="124"/>
      <c r="S53" s="124"/>
      <c r="T53" s="124"/>
      <c r="U53" s="124"/>
      <c r="V53" s="240"/>
      <c r="AS53" s="84">
        <f>AE1*14.4*125</f>
        <v>1800</v>
      </c>
      <c r="AT53" s="87"/>
      <c r="AU53" s="87"/>
      <c r="AV53" s="87"/>
      <c r="AW53" s="87"/>
      <c r="AX53" s="87"/>
    </row>
    <row r="54" spans="1:50" s="42" customFormat="1" ht="10.5" customHeight="1" x14ac:dyDescent="0.35">
      <c r="A54" s="2"/>
      <c r="C54" s="237"/>
      <c r="D54" s="237"/>
      <c r="E54" s="237"/>
      <c r="F54" s="237"/>
      <c r="G54" s="237"/>
      <c r="H54" s="237"/>
      <c r="I54" s="237"/>
      <c r="J54" s="237"/>
      <c r="K54" s="237"/>
      <c r="L54" s="237"/>
      <c r="O54" s="123"/>
      <c r="P54" s="124"/>
      <c r="Q54" s="124"/>
      <c r="R54" s="124"/>
      <c r="S54" s="124"/>
      <c r="T54" s="124"/>
      <c r="U54" s="124"/>
      <c r="V54" s="240"/>
    </row>
    <row r="55" spans="1:50" ht="10.5" customHeight="1" x14ac:dyDescent="0.35">
      <c r="C55" s="237"/>
      <c r="D55" s="237"/>
      <c r="E55" s="237"/>
      <c r="F55" s="237"/>
      <c r="G55" s="237"/>
      <c r="H55" s="237"/>
      <c r="I55" s="237"/>
      <c r="J55" s="237"/>
      <c r="K55" s="237"/>
      <c r="L55" s="237"/>
      <c r="O55" s="123"/>
      <c r="P55" s="124"/>
      <c r="Q55" s="124"/>
      <c r="R55" s="124"/>
      <c r="S55" s="124"/>
      <c r="T55" s="124"/>
      <c r="U55" s="124"/>
      <c r="V55" s="240"/>
    </row>
    <row r="56" spans="1:50" ht="10.5" customHeight="1" x14ac:dyDescent="0.35">
      <c r="B56" s="259" t="str">
        <f>VLOOKUP(181,T!A2:'T'!K2000,Order!B31+1)</f>
        <v>On our invoices is written: 2 years tax-free support and updates on request. Send us a copy of this invoice by email together with your request. Support definition: Any kind of service. Download files from high level language versions, such as the AHHSetup.exe, are to save for later self-contained transfer to another IT environment under using the file LicensingTool.exe, see the user installation manual. After the free support time expires otherwise costs for an update. However, you can buy an update/upgrade and another 2 years support. 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 Our support for network licenses is limited to ensuring, that the application works properly on the server. For links to the clients, you will find additional information in the user installation manual. However, because networks as well as firewalls are customized, you have to make sure yourself, that the application works perfectly on the clients too. For example, the port on the server must be enabled, so that the client ever comes through the firewall to the server. The Registration ID and the License Key change only, if changes have been made to the hardware. The same applies to major adjustments to the operating system. We therefore strongly recommend, that you don't make any changes at short intervals, as we have a majority of customers, who don't need new keys for 5 to 10 years. Furthermore, before such really unavoidable actions, the license can be transferred, see the user installation manual.</v>
      </c>
      <c r="C56" s="259"/>
      <c r="D56" s="259"/>
      <c r="E56" s="259"/>
      <c r="F56" s="259"/>
      <c r="G56" s="259"/>
      <c r="H56" s="259"/>
      <c r="I56" s="259"/>
      <c r="J56" s="259"/>
      <c r="K56" s="259"/>
      <c r="L56" s="259"/>
      <c r="O56" s="123"/>
      <c r="P56" s="124"/>
      <c r="Q56" s="124"/>
      <c r="R56" s="124"/>
      <c r="S56" s="124"/>
      <c r="T56" s="124"/>
      <c r="U56" s="124"/>
      <c r="V56" s="240"/>
    </row>
    <row r="57" spans="1:50" ht="10.5" customHeight="1" x14ac:dyDescent="0.35">
      <c r="B57" s="259"/>
      <c r="C57" s="259"/>
      <c r="D57" s="259"/>
      <c r="E57" s="259"/>
      <c r="F57" s="259"/>
      <c r="G57" s="259"/>
      <c r="H57" s="259"/>
      <c r="I57" s="259"/>
      <c r="J57" s="259"/>
      <c r="K57" s="259"/>
      <c r="L57" s="259"/>
      <c r="O57" s="123"/>
      <c r="P57" s="124"/>
      <c r="Q57" s="124"/>
      <c r="R57" s="124"/>
      <c r="S57" s="124"/>
      <c r="T57" s="124"/>
      <c r="U57" s="124"/>
      <c r="V57" s="240"/>
    </row>
    <row r="58" spans="1:50" ht="10.5" customHeight="1" x14ac:dyDescent="0.35">
      <c r="B58" s="259"/>
      <c r="C58" s="259"/>
      <c r="D58" s="259"/>
      <c r="E58" s="259"/>
      <c r="F58" s="259"/>
      <c r="G58" s="259"/>
      <c r="H58" s="259"/>
      <c r="I58" s="259"/>
      <c r="J58" s="259"/>
      <c r="K58" s="259"/>
      <c r="L58" s="259"/>
      <c r="O58" s="123"/>
      <c r="P58" s="124"/>
      <c r="Q58" s="124"/>
      <c r="R58" s="124"/>
      <c r="S58" s="124"/>
      <c r="T58" s="124"/>
      <c r="U58" s="124"/>
      <c r="V58" s="240"/>
      <c r="AE58" s="32"/>
      <c r="AF58" s="32"/>
      <c r="AG58" s="32"/>
      <c r="AH58" s="32"/>
      <c r="AI58" s="32"/>
      <c r="AJ58" s="32"/>
    </row>
    <row r="59" spans="1:50" ht="10.5" customHeight="1" x14ac:dyDescent="0.35">
      <c r="B59" s="259"/>
      <c r="C59" s="259"/>
      <c r="D59" s="259"/>
      <c r="E59" s="259"/>
      <c r="F59" s="259"/>
      <c r="G59" s="259"/>
      <c r="H59" s="259"/>
      <c r="I59" s="259"/>
      <c r="J59" s="259"/>
      <c r="K59" s="259"/>
      <c r="L59" s="259"/>
      <c r="O59" s="123"/>
      <c r="P59" s="124"/>
      <c r="Q59" s="124"/>
      <c r="R59" s="124"/>
      <c r="S59" s="124"/>
      <c r="T59" s="124"/>
      <c r="U59" s="124"/>
      <c r="V59" s="240"/>
      <c r="AE59" s="32"/>
      <c r="AF59" s="32"/>
      <c r="AG59" s="32"/>
      <c r="AH59" s="32"/>
      <c r="AI59" s="32"/>
      <c r="AJ59" s="32"/>
    </row>
    <row r="60" spans="1:50" ht="10.5" customHeight="1" x14ac:dyDescent="0.35">
      <c r="B60" s="259"/>
      <c r="C60" s="259"/>
      <c r="D60" s="259"/>
      <c r="E60" s="259"/>
      <c r="F60" s="259"/>
      <c r="G60" s="259"/>
      <c r="H60" s="259"/>
      <c r="I60" s="259"/>
      <c r="J60" s="259"/>
      <c r="K60" s="259"/>
      <c r="L60" s="259"/>
      <c r="O60" s="123"/>
      <c r="P60" s="124"/>
      <c r="Q60" s="124"/>
      <c r="R60" s="124"/>
      <c r="S60" s="124"/>
      <c r="T60" s="124"/>
      <c r="U60" s="124"/>
      <c r="V60" s="240"/>
      <c r="AE60" s="32"/>
      <c r="AF60" s="32"/>
      <c r="AG60" s="32"/>
      <c r="AH60" s="32"/>
      <c r="AI60" s="32"/>
      <c r="AJ60" s="32"/>
    </row>
    <row r="61" spans="1:50" ht="10.5" customHeight="1" x14ac:dyDescent="0.35">
      <c r="B61" s="259"/>
      <c r="C61" s="259"/>
      <c r="D61" s="259"/>
      <c r="E61" s="259"/>
      <c r="F61" s="259"/>
      <c r="G61" s="259"/>
      <c r="H61" s="259"/>
      <c r="I61" s="259"/>
      <c r="J61" s="259"/>
      <c r="K61" s="259"/>
      <c r="L61" s="259"/>
      <c r="O61" s="123"/>
      <c r="P61" s="124"/>
      <c r="Q61" s="124"/>
      <c r="R61" s="124"/>
      <c r="S61" s="124"/>
      <c r="T61" s="124"/>
      <c r="U61" s="124"/>
      <c r="V61" s="240"/>
      <c r="AE61" s="32"/>
      <c r="AF61" s="32"/>
      <c r="AG61" s="32"/>
      <c r="AH61" s="32"/>
      <c r="AI61" s="32"/>
      <c r="AJ61" s="32"/>
    </row>
    <row r="62" spans="1:50" ht="10.5" customHeight="1" x14ac:dyDescent="0.35">
      <c r="B62" s="259"/>
      <c r="C62" s="259"/>
      <c r="D62" s="259"/>
      <c r="E62" s="259"/>
      <c r="F62" s="259"/>
      <c r="G62" s="259"/>
      <c r="H62" s="259"/>
      <c r="I62" s="259"/>
      <c r="J62" s="259"/>
      <c r="K62" s="259"/>
      <c r="L62" s="259"/>
      <c r="O62" s="123"/>
      <c r="P62" s="124"/>
      <c r="Q62" s="124"/>
      <c r="R62" s="124"/>
      <c r="S62" s="124"/>
      <c r="T62" s="124"/>
      <c r="U62" s="124"/>
      <c r="V62" s="240"/>
      <c r="AE62" s="32"/>
      <c r="AF62" s="32"/>
      <c r="AG62" s="32"/>
      <c r="AH62" s="32"/>
      <c r="AI62" s="32"/>
      <c r="AJ62" s="32"/>
    </row>
    <row r="63" spans="1:50" ht="10.5" customHeight="1" x14ac:dyDescent="0.35">
      <c r="B63" s="259"/>
      <c r="C63" s="259"/>
      <c r="D63" s="259"/>
      <c r="E63" s="259"/>
      <c r="F63" s="259"/>
      <c r="G63" s="259"/>
      <c r="H63" s="259"/>
      <c r="I63" s="259"/>
      <c r="J63" s="259"/>
      <c r="K63" s="259"/>
      <c r="L63" s="259"/>
      <c r="O63" s="123"/>
      <c r="P63" s="124"/>
      <c r="Q63" s="124"/>
      <c r="R63" s="124"/>
      <c r="S63" s="124"/>
      <c r="T63" s="124"/>
      <c r="U63" s="124"/>
      <c r="V63" s="240"/>
      <c r="AE63" s="32"/>
      <c r="AF63" s="32"/>
      <c r="AG63" s="32"/>
      <c r="AH63" s="32"/>
      <c r="AI63" s="32"/>
      <c r="AJ63" s="32"/>
    </row>
    <row r="64" spans="1:50" ht="10.5" customHeight="1" x14ac:dyDescent="0.35">
      <c r="B64" s="259"/>
      <c r="C64" s="259"/>
      <c r="D64" s="259"/>
      <c r="E64" s="259"/>
      <c r="F64" s="259"/>
      <c r="G64" s="259"/>
      <c r="H64" s="259"/>
      <c r="I64" s="259"/>
      <c r="J64" s="259"/>
      <c r="K64" s="259"/>
      <c r="L64" s="259"/>
      <c r="O64" s="123"/>
      <c r="P64" s="124"/>
      <c r="Q64" s="124"/>
      <c r="R64" s="124"/>
      <c r="S64" s="124"/>
      <c r="T64" s="124"/>
      <c r="U64" s="124"/>
      <c r="V64" s="240"/>
      <c r="AE64" s="32"/>
      <c r="AF64" s="32"/>
      <c r="AG64" s="32"/>
      <c r="AH64" s="32"/>
      <c r="AI64" s="32"/>
      <c r="AJ64" s="32"/>
    </row>
    <row r="65" spans="1:43" ht="10.5" customHeight="1" x14ac:dyDescent="0.35">
      <c r="B65" s="259"/>
      <c r="C65" s="259"/>
      <c r="D65" s="259"/>
      <c r="E65" s="259"/>
      <c r="F65" s="259"/>
      <c r="G65" s="259"/>
      <c r="H65" s="259"/>
      <c r="I65" s="259"/>
      <c r="J65" s="259"/>
      <c r="K65" s="259"/>
      <c r="L65" s="259"/>
      <c r="O65" s="123"/>
      <c r="P65" s="124"/>
      <c r="Q65" s="124"/>
      <c r="R65" s="124"/>
      <c r="S65" s="124"/>
      <c r="T65" s="124"/>
      <c r="U65" s="124"/>
      <c r="V65" s="240"/>
      <c r="AE65" s="32"/>
      <c r="AF65" s="32"/>
      <c r="AG65" s="32"/>
      <c r="AH65" s="32"/>
      <c r="AI65" s="32"/>
      <c r="AJ65" s="32"/>
    </row>
    <row r="66" spans="1:43" ht="10.5" customHeight="1" x14ac:dyDescent="0.35">
      <c r="B66" s="259"/>
      <c r="C66" s="259"/>
      <c r="D66" s="259"/>
      <c r="E66" s="259"/>
      <c r="F66" s="259"/>
      <c r="G66" s="259"/>
      <c r="H66" s="259"/>
      <c r="I66" s="259"/>
      <c r="J66" s="259"/>
      <c r="K66" s="259"/>
      <c r="L66" s="259"/>
      <c r="O66" s="123"/>
      <c r="P66" s="124"/>
      <c r="Q66" s="124"/>
      <c r="R66" s="124"/>
      <c r="S66" s="124"/>
      <c r="T66" s="124"/>
      <c r="U66" s="124"/>
      <c r="V66" s="240"/>
      <c r="AE66" s="32"/>
      <c r="AF66" s="32"/>
      <c r="AG66" s="32"/>
      <c r="AH66" s="32"/>
      <c r="AI66" s="32"/>
      <c r="AJ66" s="32"/>
    </row>
    <row r="67" spans="1:43" ht="10.5" customHeight="1" x14ac:dyDescent="0.35">
      <c r="B67" s="259"/>
      <c r="C67" s="259"/>
      <c r="D67" s="259"/>
      <c r="E67" s="259"/>
      <c r="F67" s="259"/>
      <c r="G67" s="259"/>
      <c r="H67" s="259"/>
      <c r="I67" s="259"/>
      <c r="J67" s="259"/>
      <c r="K67" s="259"/>
      <c r="L67" s="259"/>
      <c r="O67" s="123"/>
      <c r="P67" s="124"/>
      <c r="Q67" s="124"/>
      <c r="R67" s="124"/>
      <c r="S67" s="124"/>
      <c r="T67" s="124"/>
      <c r="U67" s="124"/>
      <c r="V67" s="240"/>
      <c r="AE67" s="32"/>
      <c r="AF67" s="32"/>
      <c r="AG67" s="32"/>
      <c r="AH67" s="32"/>
      <c r="AI67" s="32"/>
      <c r="AJ67" s="32"/>
    </row>
    <row r="68" spans="1:43" ht="10.5" customHeight="1" x14ac:dyDescent="0.35">
      <c r="B68" s="259"/>
      <c r="C68" s="259"/>
      <c r="D68" s="259"/>
      <c r="E68" s="259"/>
      <c r="F68" s="259"/>
      <c r="G68" s="259"/>
      <c r="H68" s="259"/>
      <c r="I68" s="259"/>
      <c r="J68" s="259"/>
      <c r="K68" s="259"/>
      <c r="L68" s="259"/>
      <c r="O68" s="123"/>
      <c r="P68" s="124"/>
      <c r="Q68" s="124"/>
      <c r="R68" s="124"/>
      <c r="S68" s="124"/>
      <c r="T68" s="124"/>
      <c r="U68" s="124"/>
      <c r="V68" s="240"/>
      <c r="AE68" s="32"/>
      <c r="AF68" s="32"/>
      <c r="AG68" s="32"/>
      <c r="AH68" s="32"/>
      <c r="AI68" s="32"/>
      <c r="AJ68" s="32"/>
    </row>
    <row r="69" spans="1:43" ht="10.5" customHeight="1" x14ac:dyDescent="0.35">
      <c r="B69" s="259"/>
      <c r="C69" s="259"/>
      <c r="D69" s="259"/>
      <c r="E69" s="259"/>
      <c r="F69" s="259"/>
      <c r="G69" s="259"/>
      <c r="H69" s="259"/>
      <c r="I69" s="259"/>
      <c r="J69" s="259"/>
      <c r="K69" s="259"/>
      <c r="L69" s="259"/>
      <c r="O69" s="123"/>
      <c r="P69" s="124"/>
      <c r="Q69" s="124"/>
      <c r="R69" s="124"/>
      <c r="S69" s="124"/>
      <c r="T69" s="124"/>
      <c r="U69" s="124"/>
      <c r="V69" s="240"/>
      <c r="AE69" s="32"/>
      <c r="AF69" s="32"/>
      <c r="AG69" s="32"/>
      <c r="AH69" s="32"/>
      <c r="AI69" s="32"/>
      <c r="AJ69" s="32"/>
    </row>
    <row r="70" spans="1:43" ht="10.5" customHeight="1" x14ac:dyDescent="0.35">
      <c r="B70" s="259"/>
      <c r="C70" s="259"/>
      <c r="D70" s="259"/>
      <c r="E70" s="259"/>
      <c r="F70" s="259"/>
      <c r="G70" s="259"/>
      <c r="H70" s="259"/>
      <c r="I70" s="259"/>
      <c r="J70" s="259"/>
      <c r="K70" s="259"/>
      <c r="L70" s="259"/>
      <c r="O70" s="123"/>
      <c r="P70" s="124"/>
      <c r="Q70" s="124"/>
      <c r="R70" s="124"/>
      <c r="S70" s="124"/>
      <c r="T70" s="124"/>
      <c r="U70" s="124"/>
      <c r="V70" s="240"/>
      <c r="AE70" s="32"/>
      <c r="AF70" s="32"/>
      <c r="AG70" s="32"/>
      <c r="AH70" s="32"/>
      <c r="AI70" s="32"/>
      <c r="AJ70" s="32"/>
    </row>
    <row r="71" spans="1:43" ht="10.5" customHeight="1" x14ac:dyDescent="0.35">
      <c r="B71" s="259"/>
      <c r="C71" s="259"/>
      <c r="D71" s="259"/>
      <c r="E71" s="259"/>
      <c r="F71" s="259"/>
      <c r="G71" s="259"/>
      <c r="H71" s="259"/>
      <c r="I71" s="259"/>
      <c r="J71" s="259"/>
      <c r="K71" s="259"/>
      <c r="L71" s="259"/>
      <c r="O71" s="123"/>
      <c r="P71" s="124"/>
      <c r="Q71" s="124"/>
      <c r="R71" s="124"/>
      <c r="S71" s="124"/>
      <c r="T71" s="124"/>
      <c r="U71" s="124"/>
      <c r="V71" s="240"/>
      <c r="AE71" s="32"/>
      <c r="AF71" s="32"/>
      <c r="AG71" s="32"/>
      <c r="AH71" s="32"/>
      <c r="AI71" s="32"/>
      <c r="AJ71" s="32"/>
    </row>
    <row r="72" spans="1:43" ht="10.5" customHeight="1" x14ac:dyDescent="0.35">
      <c r="B72" s="260"/>
      <c r="C72" s="260"/>
      <c r="D72" s="260"/>
      <c r="E72" s="260"/>
      <c r="F72" s="260"/>
      <c r="G72" s="260"/>
      <c r="H72" s="260"/>
      <c r="I72" s="260"/>
      <c r="J72" s="260"/>
      <c r="K72" s="260"/>
      <c r="L72" s="260"/>
      <c r="O72" s="123"/>
      <c r="P72" s="124"/>
      <c r="Q72" s="124"/>
      <c r="R72" s="124"/>
      <c r="S72" s="124"/>
      <c r="T72" s="124"/>
      <c r="U72" s="124"/>
      <c r="V72" s="240"/>
      <c r="AE72" s="32"/>
      <c r="AF72" s="32"/>
      <c r="AG72" s="32"/>
      <c r="AH72" s="32"/>
      <c r="AI72" s="32"/>
      <c r="AJ72" s="32"/>
    </row>
    <row r="73" spans="1:43" ht="10.5" customHeight="1" x14ac:dyDescent="0.35">
      <c r="A73" s="42"/>
      <c r="B73" s="97"/>
      <c r="C73" s="97"/>
      <c r="D73" s="97"/>
      <c r="E73" s="97"/>
      <c r="F73" s="1"/>
      <c r="G73" s="1"/>
      <c r="H73" s="1"/>
      <c r="I73" s="1"/>
      <c r="J73" s="1"/>
      <c r="K73" s="1"/>
      <c r="L73" s="1"/>
      <c r="O73" s="123"/>
      <c r="P73" s="124"/>
      <c r="Q73" s="124"/>
      <c r="R73" s="124"/>
      <c r="S73" s="124"/>
      <c r="T73" s="124"/>
      <c r="U73" s="124"/>
      <c r="V73" s="240"/>
      <c r="AE73" s="32"/>
      <c r="AF73" s="32"/>
      <c r="AG73" s="32"/>
      <c r="AH73" s="32"/>
      <c r="AI73" s="32"/>
      <c r="AJ73" s="32"/>
    </row>
    <row r="74" spans="1:43" ht="10.5" customHeight="1" x14ac:dyDescent="0.35">
      <c r="A74" s="42"/>
      <c r="B74" s="1"/>
      <c r="C74" s="1"/>
      <c r="D74" s="1"/>
      <c r="E74" s="1"/>
      <c r="F74" s="1"/>
      <c r="G74" s="1"/>
      <c r="H74" s="1"/>
      <c r="I74" s="1"/>
      <c r="J74" s="1"/>
      <c r="K74" s="1"/>
      <c r="L74" s="1"/>
      <c r="O74" s="123"/>
      <c r="P74" s="124"/>
      <c r="Q74" s="124"/>
      <c r="R74" s="124"/>
      <c r="S74" s="124"/>
      <c r="T74" s="124"/>
      <c r="U74" s="124"/>
      <c r="V74" s="240"/>
      <c r="AE74" s="32"/>
      <c r="AF74" s="32"/>
      <c r="AG74" s="32"/>
      <c r="AH74" s="32"/>
      <c r="AI74" s="32"/>
      <c r="AJ74" s="32"/>
    </row>
    <row r="75" spans="1:43" ht="10.5" customHeight="1" x14ac:dyDescent="0.35">
      <c r="A75" s="42"/>
      <c r="B75" s="1"/>
      <c r="C75" s="1"/>
      <c r="D75" s="1"/>
      <c r="E75" s="1"/>
      <c r="F75" s="1"/>
      <c r="G75" s="1"/>
      <c r="H75" s="1"/>
      <c r="I75" s="1"/>
      <c r="J75" s="1"/>
      <c r="K75" s="1"/>
      <c r="L75" s="1"/>
      <c r="O75" s="123"/>
      <c r="P75" s="124"/>
      <c r="Q75" s="124"/>
      <c r="R75" s="124"/>
      <c r="S75" s="124"/>
      <c r="T75" s="124"/>
      <c r="U75" s="124"/>
      <c r="V75" s="240"/>
      <c r="AE75" s="32"/>
      <c r="AF75" s="32"/>
      <c r="AG75" s="32"/>
      <c r="AH75" s="32"/>
      <c r="AI75" s="32"/>
      <c r="AJ75" s="32"/>
    </row>
    <row r="76" spans="1:43" ht="10.5" customHeight="1" x14ac:dyDescent="0.35">
      <c r="O76" s="123"/>
      <c r="P76" s="124"/>
      <c r="Q76" s="124"/>
      <c r="R76" s="124"/>
      <c r="S76" s="124"/>
      <c r="T76" s="124"/>
      <c r="U76" s="124"/>
      <c r="V76" s="240"/>
      <c r="AE76" s="32"/>
      <c r="AF76" s="32"/>
      <c r="AG76" s="32"/>
      <c r="AH76" s="32"/>
      <c r="AI76" s="32"/>
      <c r="AJ76" s="32"/>
    </row>
    <row r="77" spans="1:43" ht="10.5" customHeight="1" x14ac:dyDescent="0.35">
      <c r="O77" s="123"/>
      <c r="P77" s="124"/>
      <c r="Q77" s="124"/>
      <c r="R77" s="124"/>
      <c r="S77" s="124"/>
      <c r="T77" s="124"/>
      <c r="U77" s="124"/>
      <c r="V77" s="240"/>
      <c r="AE77" s="32"/>
      <c r="AF77" s="32"/>
      <c r="AG77" s="32"/>
      <c r="AH77" s="32"/>
      <c r="AI77" s="32"/>
      <c r="AJ77" s="32"/>
    </row>
    <row r="78" spans="1:43" ht="10.5" customHeight="1" x14ac:dyDescent="0.35">
      <c r="O78" s="123"/>
      <c r="P78" s="124"/>
      <c r="Q78" s="124"/>
      <c r="R78" s="124"/>
      <c r="S78" s="124"/>
      <c r="T78" s="124"/>
      <c r="U78" s="124"/>
      <c r="V78" s="240"/>
      <c r="AE78" s="32"/>
      <c r="AF78" s="32"/>
      <c r="AG78" s="32"/>
      <c r="AH78" s="32"/>
      <c r="AI78" s="32"/>
      <c r="AJ78" s="32"/>
      <c r="AL78" s="32"/>
      <c r="AM78" s="32"/>
      <c r="AN78" s="32"/>
      <c r="AO78" s="32"/>
      <c r="AP78" s="32"/>
      <c r="AQ78" s="32"/>
    </row>
    <row r="79" spans="1:43" ht="10.5" customHeight="1" x14ac:dyDescent="0.35">
      <c r="O79" s="123"/>
      <c r="P79" s="124"/>
      <c r="Q79" s="124"/>
      <c r="R79" s="124"/>
      <c r="S79" s="124"/>
      <c r="T79" s="124"/>
      <c r="U79" s="124"/>
      <c r="V79" s="240"/>
      <c r="AE79" s="32"/>
      <c r="AF79" s="32"/>
      <c r="AG79" s="32"/>
      <c r="AH79" s="32"/>
      <c r="AI79" s="32"/>
      <c r="AJ79" s="32"/>
      <c r="AL79" s="32"/>
      <c r="AM79" s="32"/>
      <c r="AN79" s="32"/>
      <c r="AO79" s="32"/>
      <c r="AP79" s="32"/>
      <c r="AQ79" s="32"/>
    </row>
    <row r="80" spans="1:43" ht="10.5" customHeight="1" x14ac:dyDescent="0.35">
      <c r="O80" s="123"/>
      <c r="P80" s="124"/>
      <c r="Q80" s="124"/>
      <c r="R80" s="124"/>
      <c r="S80" s="124"/>
      <c r="T80" s="124"/>
      <c r="U80" s="124"/>
      <c r="V80" s="240"/>
      <c r="AE80" s="32"/>
      <c r="AF80" s="32"/>
      <c r="AG80" s="32"/>
      <c r="AH80" s="32"/>
      <c r="AI80" s="32"/>
      <c r="AJ80" s="32"/>
      <c r="AL80" s="32"/>
      <c r="AM80" s="32"/>
      <c r="AN80" s="32"/>
      <c r="AO80" s="32"/>
      <c r="AP80" s="32"/>
      <c r="AQ80" s="32"/>
    </row>
    <row r="81" spans="2:43" ht="10.5" customHeight="1" x14ac:dyDescent="0.35">
      <c r="O81" s="123"/>
      <c r="P81" s="124"/>
      <c r="Q81" s="124"/>
      <c r="R81" s="124"/>
      <c r="S81" s="124"/>
      <c r="T81" s="124"/>
      <c r="U81" s="124"/>
      <c r="V81" s="240"/>
      <c r="AF81" s="32"/>
      <c r="AG81" s="32"/>
      <c r="AH81" s="32"/>
      <c r="AI81" s="32"/>
      <c r="AJ81" s="32"/>
      <c r="AM81" s="32"/>
      <c r="AN81" s="32"/>
      <c r="AO81" s="32"/>
      <c r="AP81" s="32"/>
      <c r="AQ81" s="32"/>
    </row>
    <row r="82" spans="2:43" ht="10.5" customHeight="1" x14ac:dyDescent="0.35">
      <c r="O82" s="123"/>
      <c r="P82" s="124"/>
      <c r="Q82" s="124"/>
      <c r="R82" s="124"/>
      <c r="S82" s="124"/>
      <c r="T82" s="124"/>
      <c r="U82" s="124"/>
      <c r="V82" s="240"/>
      <c r="AG82" s="32"/>
      <c r="AN82" s="32"/>
    </row>
    <row r="83" spans="2:43" ht="10.5" customHeight="1" x14ac:dyDescent="0.35">
      <c r="O83" s="123"/>
      <c r="P83" s="124"/>
      <c r="Q83" s="124"/>
      <c r="R83" s="124"/>
      <c r="S83" s="124"/>
      <c r="T83" s="124"/>
      <c r="U83" s="124"/>
      <c r="V83" s="240"/>
      <c r="AG83" s="32"/>
      <c r="AN83" s="32"/>
    </row>
    <row r="84" spans="2:43" ht="10.5" customHeight="1" x14ac:dyDescent="0.35">
      <c r="O84" s="123"/>
      <c r="P84" s="124"/>
      <c r="Q84" s="124"/>
      <c r="R84" s="124"/>
      <c r="S84" s="124"/>
      <c r="T84" s="124"/>
      <c r="U84" s="124"/>
      <c r="V84" s="240"/>
    </row>
    <row r="85" spans="2:43" ht="10.5" customHeight="1" x14ac:dyDescent="0.35">
      <c r="O85" s="123"/>
      <c r="P85" s="124"/>
      <c r="Q85" s="124"/>
      <c r="R85" s="124"/>
      <c r="S85" s="124"/>
      <c r="T85" s="124"/>
      <c r="U85" s="124"/>
      <c r="V85" s="240"/>
    </row>
    <row r="86" spans="2:43" ht="10.5" customHeight="1" x14ac:dyDescent="0.35">
      <c r="O86" s="123"/>
      <c r="P86" s="124"/>
      <c r="Q86" s="124"/>
      <c r="R86" s="124"/>
      <c r="S86" s="124"/>
      <c r="T86" s="124"/>
      <c r="U86" s="124"/>
      <c r="V86" s="240"/>
    </row>
    <row r="87" spans="2:43" ht="10.5" customHeight="1" x14ac:dyDescent="0.35">
      <c r="O87" s="123"/>
      <c r="P87" s="124"/>
      <c r="Q87" s="124"/>
      <c r="R87" s="124"/>
      <c r="S87" s="124"/>
      <c r="T87" s="124"/>
      <c r="U87" s="124"/>
      <c r="V87" s="240"/>
    </row>
    <row r="88" spans="2:43" ht="10.5" customHeight="1" x14ac:dyDescent="0.35">
      <c r="O88" s="123"/>
      <c r="P88" s="124"/>
      <c r="Q88" s="124"/>
      <c r="R88" s="124"/>
      <c r="S88" s="124"/>
      <c r="T88" s="124"/>
      <c r="U88" s="124"/>
      <c r="V88" s="240"/>
    </row>
    <row r="89" spans="2:43" ht="10.5" customHeight="1" x14ac:dyDescent="0.35">
      <c r="O89" s="123"/>
      <c r="P89" s="124"/>
      <c r="Q89" s="124"/>
      <c r="R89" s="124"/>
      <c r="S89" s="124"/>
      <c r="T89" s="124"/>
      <c r="U89" s="124"/>
      <c r="V89" s="240"/>
    </row>
    <row r="90" spans="2:43" ht="10.5" customHeight="1" x14ac:dyDescent="0.35">
      <c r="O90" s="123"/>
      <c r="P90" s="124"/>
      <c r="Q90" s="124"/>
      <c r="R90" s="124"/>
      <c r="S90" s="124"/>
      <c r="T90" s="124"/>
      <c r="U90" s="124"/>
      <c r="V90" s="240"/>
    </row>
    <row r="91" spans="2:43" ht="10.5" customHeight="1" x14ac:dyDescent="0.35">
      <c r="O91" s="241"/>
      <c r="P91" s="165"/>
      <c r="Q91" s="165"/>
      <c r="R91" s="165"/>
      <c r="S91" s="165"/>
      <c r="T91" s="165"/>
      <c r="U91" s="165"/>
      <c r="V91" s="242"/>
    </row>
    <row r="94" spans="2:43" ht="10.5" customHeight="1" x14ac:dyDescent="0.35">
      <c r="B94" s="2"/>
      <c r="C94" s="2"/>
      <c r="D94" s="2"/>
      <c r="E94" s="2"/>
      <c r="F94" s="2"/>
      <c r="G94" s="2"/>
      <c r="H94" s="2"/>
      <c r="I94" s="2"/>
      <c r="J94" s="2"/>
      <c r="K94" s="2"/>
      <c r="L94" s="2"/>
      <c r="O94" s="2"/>
      <c r="P94" s="2"/>
      <c r="Q94" s="2"/>
      <c r="R94" s="2"/>
      <c r="S94" s="2"/>
      <c r="T94" s="2"/>
      <c r="U94" s="2"/>
      <c r="V94" s="2"/>
      <c r="W94" s="2"/>
    </row>
    <row r="95" spans="2:43" ht="10.5" customHeight="1" x14ac:dyDescent="0.35">
      <c r="B95" s="2"/>
      <c r="C95" s="2"/>
      <c r="D95" s="2"/>
      <c r="E95" s="2"/>
      <c r="F95" s="2"/>
      <c r="G95" s="2"/>
      <c r="H95" s="2"/>
      <c r="I95" s="2"/>
      <c r="J95" s="2"/>
      <c r="K95" s="2"/>
      <c r="L95" s="2"/>
      <c r="O95" s="2"/>
      <c r="P95" s="2"/>
      <c r="Q95" s="2"/>
      <c r="R95" s="2"/>
      <c r="S95" s="2"/>
      <c r="T95" s="2"/>
      <c r="U95" s="2"/>
      <c r="V95" s="2"/>
      <c r="W95" s="2"/>
    </row>
    <row r="96" spans="2:43" ht="10.5" customHeight="1" x14ac:dyDescent="0.35">
      <c r="B96" s="2"/>
      <c r="C96" s="2"/>
      <c r="D96" s="2"/>
      <c r="E96" s="2"/>
      <c r="F96" s="2"/>
      <c r="G96" s="2"/>
      <c r="H96" s="2"/>
      <c r="I96" s="2"/>
      <c r="J96" s="2"/>
      <c r="K96" s="2"/>
      <c r="L96" s="2"/>
      <c r="O96" s="2"/>
      <c r="P96" s="2"/>
      <c r="Q96" s="2"/>
      <c r="R96" s="2"/>
      <c r="S96" s="2"/>
      <c r="T96" s="2"/>
      <c r="U96" s="2"/>
      <c r="V96" s="2"/>
      <c r="W96" s="2"/>
    </row>
    <row r="97" spans="2:43" ht="10.5" customHeight="1" x14ac:dyDescent="0.35">
      <c r="B97" s="2"/>
      <c r="C97" s="2"/>
      <c r="D97" s="2"/>
      <c r="E97" s="2"/>
      <c r="F97" s="2"/>
      <c r="G97" s="2"/>
      <c r="H97" s="2"/>
      <c r="I97" s="2"/>
      <c r="J97" s="2"/>
      <c r="K97" s="2"/>
      <c r="L97" s="2"/>
      <c r="O97" s="2"/>
      <c r="P97" s="2"/>
      <c r="Q97" s="2"/>
      <c r="R97" s="2"/>
      <c r="S97" s="2"/>
      <c r="T97" s="2"/>
      <c r="U97" s="2"/>
      <c r="V97" s="2"/>
      <c r="W97" s="2"/>
    </row>
    <row r="102" spans="2:43" ht="10.5" customHeight="1" x14ac:dyDescent="0.35">
      <c r="AH102" s="31"/>
      <c r="AI102" s="31"/>
      <c r="AJ102" s="31"/>
      <c r="AO102" s="31"/>
      <c r="AP102" s="31"/>
      <c r="AQ102" s="31"/>
    </row>
    <row r="103" spans="2:43" ht="10.5" customHeight="1" x14ac:dyDescent="0.35">
      <c r="AH103" s="31"/>
      <c r="AI103" s="31"/>
      <c r="AJ103" s="31"/>
      <c r="AO103" s="31"/>
      <c r="AP103" s="31"/>
      <c r="AQ103" s="31"/>
    </row>
    <row r="104" spans="2:43" ht="10.5" customHeight="1" x14ac:dyDescent="0.35">
      <c r="AH104" s="31"/>
      <c r="AI104" s="31"/>
      <c r="AJ104" s="31"/>
      <c r="AO104" s="31"/>
      <c r="AP104" s="31"/>
      <c r="AQ104" s="31"/>
    </row>
  </sheetData>
  <sheetProtection algorithmName="SHA-512" hashValue="VmgXihzjoyGaSF13mZGEzSjnTjxZkmBO6g901vHvgemmLV8w5SkKzyQFDOVrpG4WSDbdPaZcFczOarTN5dBWAg==" saltValue="KiE6g4NAP1Jt/uTLxgVMBQ==" spinCount="100000" sheet="1" objects="1" scenarios="1"/>
  <mergeCells count="7">
    <mergeCell ref="B2:L10"/>
    <mergeCell ref="B56:L72"/>
    <mergeCell ref="H44:I44"/>
    <mergeCell ref="K37:L37"/>
    <mergeCell ref="K38:L38"/>
    <mergeCell ref="K39:L39"/>
    <mergeCell ref="K41:L41"/>
  </mergeCells>
  <hyperlinks>
    <hyperlink ref="B51" r:id="rId1" xr:uid="{64CC84FB-5D51-43B4-A390-C525DE1E1E37}"/>
    <hyperlink ref="B52" r:id="rId2" xr:uid="{F195169F-B702-43E7-8FC9-458B10907D12}"/>
    <hyperlink ref="H43" r:id="rId3" xr:uid="{00000000-0004-0000-0100-000000000000}"/>
  </hyperlinks>
  <pageMargins left="0.78740157480314965" right="0.51181102362204722" top="0.43307086614173229" bottom="0.62992125984251968" header="0" footer="0"/>
  <pageSetup paperSize="9" orientation="portrait" horizontalDpi="4294967292"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BX196"/>
  <sheetViews>
    <sheetView workbookViewId="0">
      <selection activeCell="D6" sqref="D6"/>
    </sheetView>
  </sheetViews>
  <sheetFormatPr baseColWidth="10" defaultColWidth="11.3984375" defaultRowHeight="10.4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4" width="11.3984375" style="1" customWidth="1"/>
    <col min="15" max="16" width="11.3984375" style="1"/>
    <col min="17" max="17" width="11.3984375" style="1" customWidth="1"/>
    <col min="18" max="18" width="11.3984375" style="42" customWidth="1"/>
    <col min="19" max="19" width="0.86328125" style="42" customWidth="1"/>
    <col min="20" max="23" width="11.3984375" style="42" customWidth="1"/>
    <col min="24" max="24" width="11.3984375" style="1" customWidth="1"/>
    <col min="25" max="25" width="0.86328125" style="1" customWidth="1"/>
    <col min="26" max="16384" width="11.3984375" style="2"/>
  </cols>
  <sheetData>
    <row r="1" spans="2:27" s="42" customFormat="1" ht="10.5" customHeight="1" thickBot="1" x14ac:dyDescent="0.4">
      <c r="K1" s="10"/>
      <c r="L1" s="10"/>
    </row>
    <row r="2" spans="2:27" s="42" customFormat="1" ht="10.5" customHeight="1" x14ac:dyDescent="0.35">
      <c r="B2" s="266" t="str">
        <f>VLOOKUP(20,T!A2:'T'!K2000,Order!B31+1)</f>
        <v>High-language applications</v>
      </c>
      <c r="C2" s="267"/>
      <c r="D2" s="276" t="str">
        <f>VLOOKUP(22,T!A2:'T'!K2000,Order!B31+1)</f>
        <v>Full</v>
      </c>
      <c r="E2" s="276" t="str">
        <f>VLOOKUP(23,T!A2:'T'!K2000,Order!B31+1)</f>
        <v>Update</v>
      </c>
      <c r="F2" s="276" t="str">
        <f>VLOOKUP(24,T!A2:'T'!K2000,Order!B31+1)</f>
        <v>Upgrade</v>
      </c>
      <c r="G2" s="276" t="str">
        <f>VLOOKUP(25,T!A2:'T'!K2000,Order!B31+1)</f>
        <v>Type</v>
      </c>
      <c r="H2" s="270" t="str">
        <f>VLOOKUP(Order!B36,Order!B33:'Order'!D35,2)</f>
        <v>CHF</v>
      </c>
      <c r="K2" s="274" t="str">
        <f>VLOOKUP(26,T!A2:'T'!K2000,Order!B31+1)</f>
        <v>Test</v>
      </c>
      <c r="L2" s="272" t="str">
        <f>VLOOKUP(27,T!A2:'T'!K2000,Order!B31+1)</f>
        <v>Selection</v>
      </c>
      <c r="N2" s="299" t="str">
        <f>VLOOKUP(200,T!A2:'T'!K2000,Order!B31+1)</f>
        <v>Price examples</v>
      </c>
      <c r="O2" s="300"/>
      <c r="P2" s="301"/>
      <c r="Q2" s="276" t="str">
        <f>VLOOKUP(22,T!A2:'T'!K2000,Order!B31+1)</f>
        <v>Full</v>
      </c>
      <c r="R2" s="272" t="str">
        <f>VLOOKUP(25,T!A2:'T'!K2000,Order!B31+1)</f>
        <v>Type</v>
      </c>
      <c r="X2" s="1"/>
      <c r="Y2" s="1"/>
      <c r="Z2" s="2"/>
      <c r="AA2" s="2"/>
    </row>
    <row r="3" spans="2:27" ht="10.5" customHeight="1" x14ac:dyDescent="0.35">
      <c r="B3" s="268"/>
      <c r="C3" s="269"/>
      <c r="D3" s="277"/>
      <c r="E3" s="277"/>
      <c r="F3" s="277"/>
      <c r="G3" s="277"/>
      <c r="H3" s="271"/>
      <c r="K3" s="275"/>
      <c r="L3" s="273"/>
      <c r="N3" s="302"/>
      <c r="O3" s="303"/>
      <c r="P3" s="304"/>
      <c r="Q3" s="277"/>
      <c r="R3" s="273"/>
    </row>
    <row r="4" spans="2:27" ht="10.5" customHeight="1" x14ac:dyDescent="0.35">
      <c r="B4" s="189" t="s">
        <v>295</v>
      </c>
      <c r="C4" s="68" t="str">
        <f>VLOOKUP(280,T!A2:'T'!K2000,Order!B31+1)</f>
        <v>Contains 14 applications - See "Order" page - Student version</v>
      </c>
      <c r="D4" s="27"/>
      <c r="E4" s="27"/>
      <c r="F4" s="27"/>
      <c r="G4" s="27"/>
      <c r="H4" s="190">
        <f>ROUND((Order!AE4*Order!AH4+Order!AF4*Order!AI4+Order!AG4*Order!AJ4)*IF(G4&lt;=1,1,IF(G4=2,1.5,"")),0)</f>
        <v>0</v>
      </c>
      <c r="K4" s="177" t="b">
        <f>OR(G4=1,G4=2)</f>
        <v>0</v>
      </c>
      <c r="L4" s="178" t="s">
        <v>102</v>
      </c>
      <c r="N4" s="278" t="str">
        <f>VLOOKUP(186,T!A2:'T'!K2000,Order!B31+1)</f>
        <v>Full version for 1 client, single license</v>
      </c>
      <c r="O4" s="279"/>
      <c r="P4" s="280"/>
      <c r="Q4" s="75">
        <v>1</v>
      </c>
      <c r="R4" s="186">
        <v>1</v>
      </c>
    </row>
    <row r="5" spans="2:27" ht="10.5" customHeight="1" x14ac:dyDescent="0.35">
      <c r="B5" s="173"/>
      <c r="C5" s="21" t="str">
        <f>VLOOKUP(281,T!A2:'T'!K2000,Order!B31+1)</f>
        <v>Contains 14 applications - See "Order" page - Teacher version</v>
      </c>
      <c r="D5" s="28"/>
      <c r="E5" s="28"/>
      <c r="F5" s="28"/>
      <c r="G5" s="28"/>
      <c r="H5" s="191">
        <f>ROUND((Order!AE5*Order!AH5+Order!AF5*Order!AI5+Order!AG5*Order!AJ5)*IF(G5&lt;=1,1,IF(G5=2,1.5,"")),0)</f>
        <v>0</v>
      </c>
      <c r="K5" s="179" t="b">
        <f>OR(G5=1,G5=2)</f>
        <v>0</v>
      </c>
      <c r="L5" s="180" t="s">
        <v>102</v>
      </c>
      <c r="N5" s="278" t="str">
        <f>VLOOKUP(187,T!A2:'T'!K2000,Order!B31+1)</f>
        <v>Full version for 2 clients, single license</v>
      </c>
      <c r="O5" s="279"/>
      <c r="P5" s="280"/>
      <c r="Q5" s="75">
        <v>2</v>
      </c>
      <c r="R5" s="186">
        <v>1</v>
      </c>
    </row>
    <row r="6" spans="2:27" ht="10.5" customHeight="1" x14ac:dyDescent="0.35">
      <c r="B6" s="192"/>
      <c r="C6" s="16" t="str">
        <f>VLOOKUP(282,T!A2:'T'!K2000,Order!B31+1)</f>
        <v>Contains 14 applications - See "Order" page - Corporate version</v>
      </c>
      <c r="D6" s="29"/>
      <c r="E6" s="29"/>
      <c r="F6" s="29"/>
      <c r="G6" s="29"/>
      <c r="H6" s="193">
        <f>ROUND((Order!AE6*Order!AH6+Order!AF6*Order!AI6+Order!AG6*Order!AJ6)*IF(G6&lt;=1,1,IF(G6=2,1.5,"")),0)</f>
        <v>0</v>
      </c>
      <c r="K6" s="181" t="b">
        <f>OR(G6=1,G6=2)</f>
        <v>0</v>
      </c>
      <c r="L6" s="182" t="s">
        <v>102</v>
      </c>
      <c r="N6" s="278" t="str">
        <f>VLOOKUP(190,T!A2:'T'!K2000,Order!B31+1)</f>
        <v>Full version for 1 client //, network license</v>
      </c>
      <c r="O6" s="279"/>
      <c r="P6" s="280"/>
      <c r="Q6" s="75">
        <v>1</v>
      </c>
      <c r="R6" s="186">
        <v>2</v>
      </c>
    </row>
    <row r="7" spans="2:27" ht="10.5" customHeight="1" x14ac:dyDescent="0.35">
      <c r="B7" s="189" t="s">
        <v>830</v>
      </c>
      <c r="C7" s="13" t="str">
        <f>VLOOKUP(62,T!A2:'T'!K2000,Order!B31+1)</f>
        <v>CCSX Draw internal coupling for CCS fin coil heat exchanger</v>
      </c>
      <c r="D7" s="28"/>
      <c r="E7" s="28"/>
      <c r="F7" s="28"/>
      <c r="G7" s="28"/>
      <c r="H7" s="191">
        <f>ROUND((Order!AE7*Order!AH7+Order!AF7*Order!AI7+Order!AG7*Order!AJ7)*IF(G7&lt;=1,1,IF(G7=2,1.5,"")),0)</f>
        <v>0</v>
      </c>
      <c r="K7" s="179" t="b">
        <f>OR(G7=1,G7=2)</f>
        <v>0</v>
      </c>
      <c r="L7" s="183" t="s">
        <v>102</v>
      </c>
      <c r="N7" s="278" t="str">
        <f>VLOOKUP(191,T!A2:'T'!K2000,Order!B31+1)</f>
        <v>Full version for 4 clients //, network license</v>
      </c>
      <c r="O7" s="279"/>
      <c r="P7" s="280"/>
      <c r="Q7" s="75">
        <v>4</v>
      </c>
      <c r="R7" s="186">
        <v>2</v>
      </c>
    </row>
    <row r="8" spans="2:27" ht="10.5" customHeight="1" thickBot="1" x14ac:dyDescent="0.4">
      <c r="B8" s="194" t="s">
        <v>829</v>
      </c>
      <c r="C8" s="195" t="str">
        <f>VLOOKUP(2,T!A2:'T'!K2000,Order!B31+1)</f>
        <v>SIC Draw internal coupling for standard fin coil heat exchanger</v>
      </c>
      <c r="D8" s="196"/>
      <c r="E8" s="196"/>
      <c r="F8" s="196"/>
      <c r="G8" s="196"/>
      <c r="H8" s="197">
        <f>ROUND((Order!AE8*Order!AH8+Order!AF8*Order!AI8+Order!AG8*Order!AJ8)*IF(G8&lt;=1,1,IF(G8=2,1.5,"")),0)</f>
        <v>0</v>
      </c>
      <c r="K8" s="184" t="b">
        <f>OR(G8=1,G8=2)</f>
        <v>0</v>
      </c>
      <c r="L8" s="185" t="s">
        <v>102</v>
      </c>
      <c r="N8" s="288" t="str">
        <f>VLOOKUP(192,T!A2:'T'!K2000,Order!B31+1)</f>
        <v>Full version for 6 clients //, network license</v>
      </c>
      <c r="O8" s="289"/>
      <c r="P8" s="290"/>
      <c r="Q8" s="187">
        <v>6</v>
      </c>
      <c r="R8" s="188">
        <v>2</v>
      </c>
      <c r="S8" s="1"/>
    </row>
    <row r="9" spans="2:27" ht="10.5" customHeight="1" thickBot="1" x14ac:dyDescent="0.4"/>
    <row r="10" spans="2:27" ht="10.5" customHeight="1" x14ac:dyDescent="0.35">
      <c r="B10" s="172" t="s">
        <v>972</v>
      </c>
      <c r="C10" s="210" t="str">
        <f>VLOOKUP(234,T!A2:'T'!K2000,Order!B31+1)</f>
        <v>Selection of diverse fin coil air cooler with liquid agents</v>
      </c>
      <c r="D10" s="211"/>
      <c r="E10" s="211"/>
      <c r="F10" s="211"/>
      <c r="G10" s="211"/>
      <c r="H10" s="212">
        <f>ROUND((Order!AE10*Order!AH10+Order!AF10*Order!AI10+Order!AG10*Order!AJ10)*IF(G10&lt;=1,1,IF(G10=2,1.5,"")),0)</f>
        <v>0</v>
      </c>
      <c r="K10" s="213" t="b">
        <f t="shared" ref="K10:K16" si="0">OR(G10=1,G10=2)</f>
        <v>0</v>
      </c>
      <c r="L10" s="214" t="s">
        <v>102</v>
      </c>
      <c r="N10" s="282" t="str">
        <f>VLOOKUP(256,T!A2:'T'!K2000,Order!B31+1)</f>
        <v>EXE applications can be purchased as standalone applications.</v>
      </c>
      <c r="O10" s="283"/>
      <c r="P10" s="238"/>
      <c r="Q10" s="238"/>
      <c r="R10" s="239"/>
      <c r="S10" s="2"/>
    </row>
    <row r="11" spans="2:27" s="42" customFormat="1" ht="10.5" customHeight="1" x14ac:dyDescent="0.35">
      <c r="B11" s="173" t="s">
        <v>865</v>
      </c>
      <c r="C11" s="21" t="str">
        <f>VLOOKUP(233,T!A2:'T'!K2000,Order!B31+1)</f>
        <v>Selection of diverse fin coil air heater with liquid agents</v>
      </c>
      <c r="D11" s="28"/>
      <c r="E11" s="28"/>
      <c r="F11" s="28"/>
      <c r="G11" s="28"/>
      <c r="H11" s="191">
        <f>ROUND((Order!AE11*Order!AH11+Order!AF11*Order!AI11+Order!AG11*Order!AJ11)*IF(G11&lt;=1,1,IF(G11=2,1.5,"")),0)</f>
        <v>0</v>
      </c>
      <c r="I11" s="1"/>
      <c r="J11" s="1"/>
      <c r="K11" s="179" t="b">
        <f t="shared" si="0"/>
        <v>0</v>
      </c>
      <c r="L11" s="180" t="s">
        <v>102</v>
      </c>
      <c r="N11" s="284"/>
      <c r="O11" s="285"/>
      <c r="P11" s="13"/>
      <c r="Q11" s="13"/>
      <c r="R11" s="203"/>
      <c r="X11" s="1"/>
      <c r="Y11" s="1"/>
      <c r="Z11" s="2"/>
      <c r="AA11" s="2"/>
    </row>
    <row r="12" spans="2:27" s="42" customFormat="1" ht="10.5" customHeight="1" x14ac:dyDescent="0.35">
      <c r="B12" s="174"/>
      <c r="C12" s="13" t="str">
        <f>VLOOKUP(236,T!A2:'T'!K2000,Order!B31+1)</f>
        <v>Selection of diverse fin coil refrigerant DX-Evaporator</v>
      </c>
      <c r="D12" s="28"/>
      <c r="E12" s="28"/>
      <c r="F12" s="28"/>
      <c r="G12" s="28"/>
      <c r="H12" s="191">
        <f>ROUND((Order!AE12*Order!AH12+Order!AF12*Order!AI12+Order!AG12*Order!AJ12)*IF(G12&lt;=1,1,IF(G12=2,1.5,"")),0)</f>
        <v>0</v>
      </c>
      <c r="I12" s="1"/>
      <c r="J12" s="1"/>
      <c r="K12" s="179" t="b">
        <f t="shared" si="0"/>
        <v>0</v>
      </c>
      <c r="L12" s="180" t="s">
        <v>102</v>
      </c>
      <c r="N12" s="284"/>
      <c r="O12" s="285"/>
      <c r="P12" s="13"/>
      <c r="Q12" s="13"/>
      <c r="R12" s="203"/>
      <c r="X12" s="1"/>
      <c r="Y12" s="1"/>
      <c r="Z12" s="2"/>
      <c r="AA12" s="2"/>
    </row>
    <row r="13" spans="2:27" s="42" customFormat="1" ht="10.5" customHeight="1" x14ac:dyDescent="0.35">
      <c r="B13" s="174"/>
      <c r="C13" s="157" t="str">
        <f>VLOOKUP(235,T!A2:'T'!K2000,Order!B31+1)</f>
        <v>Selection of diverse fin coil refrigerant condenser</v>
      </c>
      <c r="D13" s="227"/>
      <c r="E13" s="227"/>
      <c r="F13" s="227"/>
      <c r="G13" s="227"/>
      <c r="H13" s="228">
        <f>ROUND((Order!AE13*Order!AH13+Order!AF13*Order!AI13+Order!AG13*Order!AJ13)*IF(G13&lt;=1,1,IF(G13=2,1.5,"")),0)</f>
        <v>0</v>
      </c>
      <c r="I13" s="1"/>
      <c r="J13" s="1"/>
      <c r="K13" s="231" t="b">
        <f t="shared" si="0"/>
        <v>0</v>
      </c>
      <c r="L13" s="232" t="s">
        <v>102</v>
      </c>
      <c r="N13" s="284"/>
      <c r="O13" s="285"/>
      <c r="P13" s="13"/>
      <c r="Q13" s="13"/>
      <c r="R13" s="203"/>
      <c r="X13" s="1"/>
      <c r="Y13" s="1"/>
      <c r="Z13" s="2"/>
      <c r="AA13" s="2"/>
    </row>
    <row r="14" spans="2:27" s="42" customFormat="1" ht="10.5" customHeight="1" x14ac:dyDescent="0.35">
      <c r="B14" s="174"/>
      <c r="C14" s="155" t="str">
        <f>VLOOKUP(260,T!A2:'T'!K2000,Order!B31+1)</f>
        <v>Heat recovery CCSB, selection with various geometries</v>
      </c>
      <c r="D14" s="229"/>
      <c r="E14" s="229"/>
      <c r="F14" s="229"/>
      <c r="G14" s="229"/>
      <c r="H14" s="230">
        <f>ROUND((Order!AE14*Order!AH14+Order!AF14*Order!AI14+Order!AG14*Order!AJ14)*IF(G14&lt;=1,1,IF(G14=2,1.5,"")),0)</f>
        <v>0</v>
      </c>
      <c r="I14" s="1"/>
      <c r="J14" s="1"/>
      <c r="K14" s="233" t="b">
        <f t="shared" si="0"/>
        <v>0</v>
      </c>
      <c r="L14" s="234" t="s">
        <v>102</v>
      </c>
      <c r="N14" s="284"/>
      <c r="O14" s="285"/>
      <c r="P14" s="13"/>
      <c r="Q14" s="13"/>
      <c r="R14" s="203"/>
      <c r="X14" s="1"/>
      <c r="Y14" s="1"/>
      <c r="Z14" s="2"/>
      <c r="AA14" s="2"/>
    </row>
    <row r="15" spans="2:27" s="42" customFormat="1" ht="10.5" customHeight="1" x14ac:dyDescent="0.35">
      <c r="B15" s="174"/>
      <c r="C15" s="13" t="str">
        <f>VLOOKUP(261,T!A2:'T'!K2000,Order!B31+1)</f>
        <v>Heat recovery CCSD, selection with various geometries</v>
      </c>
      <c r="D15" s="28"/>
      <c r="E15" s="28"/>
      <c r="F15" s="28"/>
      <c r="G15" s="28"/>
      <c r="H15" s="191">
        <f>ROUND((Order!AE15*Order!AH15+Order!AF15*Order!AI15+Order!AG15*Order!AJ15)*IF(G15&lt;=1,1,IF(G15=2,1.5,"")),0)</f>
        <v>0</v>
      </c>
      <c r="I15" s="1"/>
      <c r="J15" s="1"/>
      <c r="K15" s="179" t="b">
        <f t="shared" si="0"/>
        <v>0</v>
      </c>
      <c r="L15" s="180" t="s">
        <v>102</v>
      </c>
      <c r="N15" s="284"/>
      <c r="O15" s="285"/>
      <c r="P15" s="13"/>
      <c r="Q15" s="13"/>
      <c r="R15" s="203"/>
      <c r="X15" s="1"/>
      <c r="Y15" s="1"/>
      <c r="Z15" s="2"/>
      <c r="AA15" s="2"/>
    </row>
    <row r="16" spans="2:27" s="42" customFormat="1" ht="10.5" customHeight="1" thickBot="1" x14ac:dyDescent="0.4">
      <c r="B16" s="174"/>
      <c r="C16" s="13" t="str">
        <f>VLOOKUP(262,T!A2:'T'!K2000,Order!B31+1)</f>
        <v>Heat recovery CCSF, selection with various geometries</v>
      </c>
      <c r="D16" s="28"/>
      <c r="E16" s="28"/>
      <c r="F16" s="28"/>
      <c r="G16" s="28"/>
      <c r="H16" s="191">
        <f>ROUND((Order!AE16*Order!AH16+Order!AF16*Order!AI16+Order!AG16*Order!AJ16)*IF(G16&lt;=1,1,IF(G16=2,1.5,"")),0)</f>
        <v>0</v>
      </c>
      <c r="I16" s="1"/>
      <c r="J16" s="1"/>
      <c r="K16" s="179" t="b">
        <f t="shared" si="0"/>
        <v>0</v>
      </c>
      <c r="L16" s="180" t="s">
        <v>102</v>
      </c>
      <c r="N16" s="286"/>
      <c r="O16" s="287"/>
      <c r="P16" s="13"/>
      <c r="Q16" s="13"/>
      <c r="R16" s="203"/>
      <c r="X16" s="1"/>
      <c r="Y16" s="1"/>
      <c r="Z16" s="2"/>
      <c r="AA16" s="2"/>
    </row>
    <row r="17" spans="1:69" ht="10.5" customHeight="1" x14ac:dyDescent="0.35">
      <c r="A17" s="42"/>
      <c r="B17" s="172" t="s">
        <v>972</v>
      </c>
      <c r="C17" s="218" t="str">
        <f t="shared" ref="C17:C23" si="1">C10</f>
        <v>Selection of diverse fin coil air cooler with liquid agents</v>
      </c>
      <c r="D17" s="211"/>
      <c r="E17" s="211"/>
      <c r="F17" s="211"/>
      <c r="G17" s="219">
        <v>1</v>
      </c>
      <c r="H17" s="212">
        <f>ROUND((Order!AE17*Order!AH17+Order!AF17*Order!AI17+Order!AG17*Order!AJ17)*IF(G17&lt;=1,1,IF(G17=2,1.5,"")),0)</f>
        <v>0</v>
      </c>
      <c r="K17" s="213" t="b">
        <f t="shared" ref="K17:K23" si="2">OR(G17=1,G17=2)</f>
        <v>1</v>
      </c>
      <c r="L17" s="214" t="s">
        <v>102</v>
      </c>
      <c r="M17" s="42"/>
      <c r="N17" s="282" t="str">
        <f>VLOOKUP(257,T!A2:'T'!K2000,Order!B31+1)</f>
        <v>DLLs will only be sold, if an agreement is signed. This prohibits resale.</v>
      </c>
      <c r="O17" s="283"/>
      <c r="P17" s="13"/>
      <c r="Q17" s="13"/>
      <c r="R17" s="203"/>
    </row>
    <row r="18" spans="1:69" ht="10.5" customHeight="1" x14ac:dyDescent="0.35">
      <c r="B18" s="173" t="s">
        <v>866</v>
      </c>
      <c r="C18" s="21" t="str">
        <f t="shared" si="1"/>
        <v>Selection of diverse fin coil air heater with liquid agents</v>
      </c>
      <c r="D18" s="28"/>
      <c r="E18" s="28"/>
      <c r="F18" s="28"/>
      <c r="G18" s="220">
        <v>1</v>
      </c>
      <c r="H18" s="191">
        <f>ROUND((Order!AE18*Order!AH18+Order!AF18*Order!AI18+Order!AG18*Order!AJ18)*IF(G18&lt;=1,1,IF(G18=2,1.5,"")),0)</f>
        <v>0</v>
      </c>
      <c r="I18" s="42"/>
      <c r="J18" s="42"/>
      <c r="K18" s="179" t="b">
        <f t="shared" si="2"/>
        <v>1</v>
      </c>
      <c r="L18" s="180" t="s">
        <v>102</v>
      </c>
      <c r="M18" s="42"/>
      <c r="N18" s="284"/>
      <c r="O18" s="285"/>
      <c r="P18" s="13"/>
      <c r="Q18" s="13"/>
      <c r="R18" s="203"/>
    </row>
    <row r="19" spans="1:69" ht="10.5" customHeight="1" x14ac:dyDescent="0.35">
      <c r="B19" s="174"/>
      <c r="C19" s="13" t="str">
        <f t="shared" si="1"/>
        <v>Selection of diverse fin coil refrigerant DX-Evaporator</v>
      </c>
      <c r="D19" s="28"/>
      <c r="E19" s="28"/>
      <c r="F19" s="28"/>
      <c r="G19" s="220">
        <v>1</v>
      </c>
      <c r="H19" s="191">
        <f>ROUND((Order!AE19*Order!AH19+Order!AF19*Order!AI19+Order!AG19*Order!AJ19)*IF(G19&lt;=1,1,IF(G19=2,1.5,"")),0)</f>
        <v>0</v>
      </c>
      <c r="I19" s="42"/>
      <c r="J19" s="42"/>
      <c r="K19" s="179" t="b">
        <f t="shared" si="2"/>
        <v>1</v>
      </c>
      <c r="L19" s="180" t="s">
        <v>102</v>
      </c>
      <c r="M19" s="42"/>
      <c r="N19" s="284"/>
      <c r="O19" s="285"/>
      <c r="P19" s="13"/>
      <c r="Q19" s="13"/>
      <c r="R19" s="203"/>
    </row>
    <row r="20" spans="1:69" ht="10.5" customHeight="1" x14ac:dyDescent="0.35">
      <c r="B20" s="174"/>
      <c r="C20" s="157" t="str">
        <f t="shared" si="1"/>
        <v>Selection of diverse fin coil refrigerant condenser</v>
      </c>
      <c r="D20" s="227"/>
      <c r="E20" s="227"/>
      <c r="F20" s="227"/>
      <c r="G20" s="235">
        <v>1</v>
      </c>
      <c r="H20" s="228">
        <f>ROUND((Order!AE20*Order!AH20+Order!AF20*Order!AI20+Order!AG20*Order!AJ20)*IF(G20&lt;=1,1,IF(G20=2,1.5,"")),0)</f>
        <v>0</v>
      </c>
      <c r="I20" s="42"/>
      <c r="J20" s="42"/>
      <c r="K20" s="231" t="b">
        <f t="shared" si="2"/>
        <v>1</v>
      </c>
      <c r="L20" s="232" t="s">
        <v>102</v>
      </c>
      <c r="N20" s="284"/>
      <c r="O20" s="285"/>
      <c r="P20" s="13"/>
      <c r="Q20" s="13"/>
      <c r="R20" s="203"/>
    </row>
    <row r="21" spans="1:69" ht="10.5" customHeight="1" x14ac:dyDescent="0.35">
      <c r="B21" s="174"/>
      <c r="C21" s="155" t="str">
        <f t="shared" si="1"/>
        <v>Heat recovery CCSB, selection with various geometries</v>
      </c>
      <c r="D21" s="229"/>
      <c r="E21" s="229"/>
      <c r="F21" s="229"/>
      <c r="G21" s="236">
        <v>1</v>
      </c>
      <c r="H21" s="230">
        <f>ROUND((Order!AE21*Order!AH21+Order!AF21*Order!AI21+Order!AG21*Order!AJ21)*IF(G21&lt;=1,1,IF(G21=2,1.5,"")),0)</f>
        <v>0</v>
      </c>
      <c r="I21" s="42"/>
      <c r="J21" s="42"/>
      <c r="K21" s="233" t="b">
        <f t="shared" si="2"/>
        <v>1</v>
      </c>
      <c r="L21" s="234" t="s">
        <v>102</v>
      </c>
      <c r="N21" s="284"/>
      <c r="O21" s="285"/>
      <c r="P21" s="13"/>
      <c r="Q21" s="13"/>
      <c r="R21" s="203"/>
    </row>
    <row r="22" spans="1:69" ht="10.5" customHeight="1" x14ac:dyDescent="0.35">
      <c r="B22" s="174"/>
      <c r="C22" s="13" t="str">
        <f t="shared" si="1"/>
        <v>Heat recovery CCSD, selection with various geometries</v>
      </c>
      <c r="D22" s="28"/>
      <c r="E22" s="28"/>
      <c r="F22" s="28"/>
      <c r="G22" s="220">
        <v>1</v>
      </c>
      <c r="H22" s="191">
        <f>ROUND((Order!AE22*Order!AH22+Order!AF22*Order!AI22+Order!AG22*Order!AJ22)*IF(G22&lt;=1,1,IF(G22=2,1.5,"")),0)</f>
        <v>0</v>
      </c>
      <c r="I22" s="42"/>
      <c r="J22" s="42"/>
      <c r="K22" s="179" t="b">
        <f t="shared" si="2"/>
        <v>1</v>
      </c>
      <c r="L22" s="180" t="s">
        <v>102</v>
      </c>
      <c r="N22" s="284"/>
      <c r="O22" s="285"/>
      <c r="P22" s="13"/>
      <c r="Q22" s="13"/>
      <c r="R22" s="203"/>
    </row>
    <row r="23" spans="1:69" ht="10.5" customHeight="1" thickBot="1" x14ac:dyDescent="0.4">
      <c r="B23" s="175"/>
      <c r="C23" s="204" t="str">
        <f t="shared" si="1"/>
        <v>Heat recovery CCSF, selection with various geometries</v>
      </c>
      <c r="D23" s="247"/>
      <c r="E23" s="247"/>
      <c r="F23" s="247"/>
      <c r="G23" s="221">
        <v>1</v>
      </c>
      <c r="H23" s="215">
        <f>ROUND((Order!AE23*Order!AH23+Order!AF23*Order!AI23+Order!AG23*Order!AJ23)*IF(G23&lt;=1,1,IF(G23=2,1.5,"")),0)</f>
        <v>0</v>
      </c>
      <c r="I23" s="42"/>
      <c r="J23" s="42"/>
      <c r="K23" s="216" t="b">
        <f t="shared" si="2"/>
        <v>1</v>
      </c>
      <c r="L23" s="217" t="s">
        <v>102</v>
      </c>
      <c r="N23" s="286"/>
      <c r="O23" s="287"/>
      <c r="P23" s="204"/>
      <c r="Q23" s="204"/>
      <c r="R23" s="205"/>
    </row>
    <row r="24" spans="1:69" ht="10.5" customHeight="1" thickBot="1" x14ac:dyDescent="0.4">
      <c r="B24" s="42"/>
      <c r="C24" s="42"/>
      <c r="D24" s="42"/>
      <c r="E24" s="42"/>
      <c r="F24" s="42"/>
      <c r="G24" s="42"/>
      <c r="H24" s="42"/>
      <c r="I24" s="42"/>
      <c r="J24" s="42"/>
      <c r="M24" s="42"/>
      <c r="N24" s="42"/>
      <c r="O24" s="42"/>
      <c r="P24" s="42"/>
      <c r="Q24" s="42"/>
      <c r="Y24" s="76"/>
    </row>
    <row r="25" spans="1:69" ht="10.5" customHeight="1" x14ac:dyDescent="0.35">
      <c r="B25" s="291" t="str">
        <f>VLOOKUP(130,T!A2:'T'!K2000,Order!B31+1)</f>
        <v>Introduction to applications</v>
      </c>
      <c r="C25" s="292"/>
      <c r="D25" s="295" t="str">
        <f>VLOOKUP(132,T!A2:'T'!K2000,Order!B31+1)</f>
        <v>Days</v>
      </c>
      <c r="E25" s="198"/>
      <c r="F25" s="198"/>
      <c r="G25" s="198"/>
      <c r="H25" s="297" t="str">
        <f>VLOOKUP(Order!B36,Order!B33:'Order'!D35,2)</f>
        <v>CHF</v>
      </c>
      <c r="I25" s="42"/>
      <c r="J25" s="42"/>
      <c r="K25" s="99"/>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68"/>
    </row>
    <row r="26" spans="1:69" ht="10.5" customHeight="1" x14ac:dyDescent="0.35">
      <c r="B26" s="293"/>
      <c r="C26" s="294"/>
      <c r="D26" s="296"/>
      <c r="E26" s="41"/>
      <c r="F26" s="41"/>
      <c r="G26" s="41"/>
      <c r="H26" s="298"/>
      <c r="I26" s="42"/>
      <c r="J26" s="42"/>
      <c r="K26" s="20"/>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21"/>
    </row>
    <row r="27" spans="1:69" ht="10.5" customHeight="1" thickBot="1" x14ac:dyDescent="0.4">
      <c r="B27" s="194" t="s">
        <v>6</v>
      </c>
      <c r="C27" s="199" t="str">
        <f>VLOOKUP(131,T!A2:'T'!K2000,Order!B31+1)</f>
        <v>Training in Bern - 6 hours daily</v>
      </c>
      <c r="D27" s="200"/>
      <c r="E27" s="201"/>
      <c r="F27" s="201"/>
      <c r="G27" s="201"/>
      <c r="H27" s="197">
        <f>ROUND(D27*Order!AE27,0)</f>
        <v>0</v>
      </c>
      <c r="I27" s="42"/>
      <c r="J27" s="42"/>
      <c r="K27" s="20"/>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21"/>
    </row>
    <row r="28" spans="1:69" ht="10.5" customHeight="1" x14ac:dyDescent="0.35">
      <c r="B28" s="42"/>
      <c r="C28" s="42"/>
      <c r="D28" s="42"/>
      <c r="E28" s="42"/>
      <c r="F28" s="42"/>
      <c r="G28" s="42"/>
      <c r="H28" s="42"/>
      <c r="I28" s="42"/>
      <c r="J28" s="42"/>
      <c r="K28" s="20"/>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21"/>
    </row>
    <row r="29" spans="1:69" ht="10.5" customHeight="1" x14ac:dyDescent="0.35">
      <c r="B29" s="42"/>
      <c r="C29" s="42"/>
      <c r="D29" s="65" t="str">
        <f>VLOOKUP(133,T!A2:'T'!K2000,Order!B31+1)</f>
        <v>Total net, prepayment:</v>
      </c>
      <c r="E29" s="39"/>
      <c r="F29" s="39"/>
      <c r="G29" s="30" t="str">
        <f>VLOOKUP(Order!B36,Order!B33:'Order'!D35,2)</f>
        <v>CHF</v>
      </c>
      <c r="H29" s="226">
        <f>SUM(H4:H27)</f>
        <v>0</v>
      </c>
      <c r="I29" s="42"/>
      <c r="J29" s="42"/>
      <c r="K29" s="20"/>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21"/>
    </row>
    <row r="30" spans="1:69" ht="10.5" customHeight="1" x14ac:dyDescent="0.35">
      <c r="B30" s="42"/>
      <c r="C30" s="42"/>
      <c r="D30" s="42"/>
      <c r="E30" s="42"/>
      <c r="F30" s="42"/>
      <c r="G30" s="42"/>
      <c r="H30" s="42"/>
      <c r="I30" s="42"/>
      <c r="J30" s="42"/>
      <c r="K30" s="20"/>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21"/>
    </row>
    <row r="31" spans="1:69" ht="10.5" customHeight="1" x14ac:dyDescent="0.35">
      <c r="B31" s="259" t="str">
        <f>VLOOKUP(267,T!A2:'T'!K2000,Order!B31+1)</f>
        <v>If you produce air conditioning units, you should read on! High-language neutral applications (EXEs, DLLs, GUIDLLs) for calculating the 3 most important heat exchangers (heater, cooler, condenser, evaporator) will be available by mid-2024. Applications for calculating the 4 most important heat recovery systems will be available by the end of 2025. Because comparisons to a wide variety of geometries are possible, you can delete all DLLs from heat exchanger manufacturers.</v>
      </c>
      <c r="C31" s="259"/>
      <c r="D31" s="259"/>
      <c r="E31" s="259"/>
      <c r="F31" s="259"/>
      <c r="G31" s="259"/>
      <c r="H31" s="259"/>
      <c r="I31" s="42"/>
      <c r="J31" s="42"/>
      <c r="K31" s="20"/>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21"/>
    </row>
    <row r="32" spans="1:69" ht="10.5" customHeight="1" x14ac:dyDescent="0.35">
      <c r="B32" s="259"/>
      <c r="C32" s="259"/>
      <c r="D32" s="259"/>
      <c r="E32" s="259"/>
      <c r="F32" s="259"/>
      <c r="G32" s="259"/>
      <c r="H32" s="259"/>
      <c r="I32" s="42"/>
      <c r="J32" s="42"/>
      <c r="K32" s="20"/>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21"/>
    </row>
    <row r="33" spans="1:69" ht="10.5" customHeight="1" x14ac:dyDescent="0.35">
      <c r="B33" s="259"/>
      <c r="C33" s="259"/>
      <c r="D33" s="259"/>
      <c r="E33" s="259"/>
      <c r="F33" s="259"/>
      <c r="G33" s="259"/>
      <c r="H33" s="259"/>
      <c r="I33" s="42"/>
      <c r="J33" s="42"/>
      <c r="K33" s="20"/>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21"/>
    </row>
    <row r="34" spans="1:69" ht="10.5" customHeight="1" x14ac:dyDescent="0.35">
      <c r="A34" s="77"/>
      <c r="B34" s="259"/>
      <c r="C34" s="259"/>
      <c r="D34" s="259"/>
      <c r="E34" s="259"/>
      <c r="F34" s="259"/>
      <c r="G34" s="259"/>
      <c r="H34" s="259"/>
      <c r="K34" s="20"/>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21"/>
    </row>
    <row r="35" spans="1:69" ht="10.5" customHeight="1" x14ac:dyDescent="0.35">
      <c r="A35" s="78"/>
      <c r="B35" s="259"/>
      <c r="C35" s="259"/>
      <c r="D35" s="259"/>
      <c r="E35" s="259"/>
      <c r="F35" s="259"/>
      <c r="G35" s="259"/>
      <c r="H35" s="259"/>
      <c r="K35" s="20"/>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21"/>
    </row>
    <row r="36" spans="1:69" ht="10.5" customHeight="1" x14ac:dyDescent="0.35">
      <c r="B36" s="259"/>
      <c r="C36" s="259"/>
      <c r="D36" s="259"/>
      <c r="E36" s="259"/>
      <c r="F36" s="259"/>
      <c r="G36" s="259"/>
      <c r="H36" s="259"/>
      <c r="K36" s="20"/>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21"/>
    </row>
    <row r="37" spans="1:69" ht="10.5" customHeight="1" x14ac:dyDescent="0.35">
      <c r="B37" s="259" t="str">
        <f>VLOOKUP(155,T!A2:'T'!K2000,Order!B31+1)</f>
        <v>For air handling units, the maximum dimensions BT and RH for the finned heat exchanger including the frame are known. You want to determine the optimal finned heat exchanger from a number of different geometries, for example from different manufacturers. The HES applications offer this selection by first calculating up to 40 different finned heat exchangers with a macro and displaying the relevant selection criteria. The optimum finned heat exchanger can be selected from these.</v>
      </c>
      <c r="C37" s="259"/>
      <c r="D37" s="259"/>
      <c r="E37" s="259"/>
      <c r="F37" s="259"/>
      <c r="G37" s="259"/>
      <c r="H37" s="259"/>
      <c r="K37" s="20"/>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21"/>
    </row>
    <row r="38" spans="1:69" ht="10.5" customHeight="1" x14ac:dyDescent="0.35">
      <c r="B38" s="259"/>
      <c r="C38" s="259"/>
      <c r="D38" s="259"/>
      <c r="E38" s="259"/>
      <c r="F38" s="259"/>
      <c r="G38" s="259"/>
      <c r="H38" s="259"/>
      <c r="K38" s="20"/>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21"/>
    </row>
    <row r="39" spans="1:69" ht="10.5" customHeight="1" x14ac:dyDescent="0.35">
      <c r="B39" s="259"/>
      <c r="C39" s="259"/>
      <c r="D39" s="259"/>
      <c r="E39" s="259"/>
      <c r="F39" s="259"/>
      <c r="G39" s="259"/>
      <c r="H39" s="259"/>
      <c r="K39" s="20"/>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21"/>
    </row>
    <row r="40" spans="1:69" ht="10.5" customHeight="1" x14ac:dyDescent="0.35">
      <c r="B40" s="259"/>
      <c r="C40" s="259"/>
      <c r="D40" s="259"/>
      <c r="E40" s="259"/>
      <c r="F40" s="259"/>
      <c r="G40" s="259"/>
      <c r="H40" s="259"/>
      <c r="K40" s="20"/>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21"/>
    </row>
    <row r="41" spans="1:69" ht="10.5" customHeight="1" x14ac:dyDescent="0.35">
      <c r="A41" s="42"/>
      <c r="B41" s="259"/>
      <c r="C41" s="259"/>
      <c r="D41" s="259"/>
      <c r="E41" s="259"/>
      <c r="F41" s="259"/>
      <c r="G41" s="259"/>
      <c r="H41" s="259"/>
      <c r="K41" s="20"/>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21"/>
    </row>
    <row r="42" spans="1:69" ht="10.5" customHeight="1" x14ac:dyDescent="0.35">
      <c r="A42" s="42"/>
      <c r="B42" s="259"/>
      <c r="C42" s="259"/>
      <c r="D42" s="259"/>
      <c r="E42" s="259"/>
      <c r="F42" s="259"/>
      <c r="G42" s="259"/>
      <c r="H42" s="259"/>
      <c r="K42" s="20"/>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21"/>
    </row>
    <row r="43" spans="1:69" s="42" customFormat="1" ht="10.5" customHeight="1" x14ac:dyDescent="0.35">
      <c r="B43" s="259"/>
      <c r="C43" s="259"/>
      <c r="D43" s="259"/>
      <c r="E43" s="259"/>
      <c r="F43" s="259"/>
      <c r="G43" s="259"/>
      <c r="H43" s="259"/>
      <c r="K43" s="20"/>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21"/>
    </row>
    <row r="44" spans="1:69" s="42" customFormat="1" ht="10.5" customHeight="1" x14ac:dyDescent="0.35">
      <c r="A44" s="2"/>
      <c r="B44" s="281" t="str">
        <f>VLOOKUP(270,T!A2:'T'!K2000,Order!B31+1)</f>
        <v>For the energy recovery systems below, calculations are made for conditions in winter, in summer, according to DIN EN 308, for the energy requirement per year, for the economic efficiency and for the amortization, see an example for the CCSF system on the right.</v>
      </c>
      <c r="C44" s="281"/>
      <c r="D44" s="281"/>
      <c r="E44" s="281"/>
      <c r="F44" s="281"/>
      <c r="G44" s="281"/>
      <c r="H44" s="281"/>
      <c r="K44" s="20"/>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21"/>
    </row>
    <row r="45" spans="1:69" s="42" customFormat="1" ht="10.5" customHeight="1" x14ac:dyDescent="0.35">
      <c r="A45" s="2"/>
      <c r="B45" s="281"/>
      <c r="C45" s="281"/>
      <c r="D45" s="281"/>
      <c r="E45" s="281"/>
      <c r="F45" s="281"/>
      <c r="G45" s="281"/>
      <c r="H45" s="281"/>
      <c r="K45" s="20"/>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21"/>
    </row>
    <row r="46" spans="1:69" s="42" customFormat="1" ht="10.5" customHeight="1" x14ac:dyDescent="0.35">
      <c r="B46" s="281"/>
      <c r="C46" s="281"/>
      <c r="D46" s="281"/>
      <c r="E46" s="281"/>
      <c r="F46" s="281"/>
      <c r="G46" s="281"/>
      <c r="H46" s="281"/>
      <c r="K46" s="20"/>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21"/>
    </row>
    <row r="47" spans="1:69" s="42" customFormat="1" ht="10.5" customHeight="1" x14ac:dyDescent="0.35">
      <c r="B47" s="281"/>
      <c r="C47" s="281"/>
      <c r="D47" s="281"/>
      <c r="E47" s="281"/>
      <c r="F47" s="281"/>
      <c r="G47" s="281"/>
      <c r="H47" s="281"/>
      <c r="K47" s="20"/>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21"/>
    </row>
    <row r="48" spans="1:69" s="42" customFormat="1" ht="10.5" customHeight="1" x14ac:dyDescent="0.35">
      <c r="B48" s="281"/>
      <c r="C48" s="281"/>
      <c r="D48" s="281"/>
      <c r="E48" s="281"/>
      <c r="F48" s="281"/>
      <c r="G48" s="281"/>
      <c r="H48" s="281"/>
      <c r="K48" s="20"/>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21"/>
    </row>
    <row r="49" spans="1:69" ht="10.5" customHeight="1" x14ac:dyDescent="0.35">
      <c r="A49" s="42"/>
      <c r="D49" s="237"/>
      <c r="E49" s="237"/>
      <c r="F49" s="237"/>
      <c r="G49" s="237"/>
      <c r="H49" s="237"/>
      <c r="K49" s="20"/>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21"/>
    </row>
    <row r="50" spans="1:69" ht="10.5" customHeight="1" x14ac:dyDescent="0.35">
      <c r="A50" s="42"/>
      <c r="B50" s="202" t="str">
        <f>CONCATENATE(" CCSB               ",VLOOKUP(193,T!A2:'T'!K2000,Order!B31+1),"                              ",VLOOKUP(165,T!A2:'T'!K2000,Order!B31+1))</f>
        <v xml:space="preserve"> CCSB               Winter service                              Summer service</v>
      </c>
      <c r="D50" s="237"/>
      <c r="E50" s="237"/>
      <c r="F50" s="237"/>
      <c r="G50" s="237"/>
      <c r="H50" s="4" t="s">
        <v>1048</v>
      </c>
      <c r="K50" s="20"/>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21"/>
    </row>
    <row r="51" spans="1:69" ht="10.5" customHeight="1" x14ac:dyDescent="0.35">
      <c r="A51" s="42"/>
      <c r="B51" s="42"/>
      <c r="D51" s="237"/>
      <c r="E51" s="237"/>
      <c r="F51" s="237"/>
      <c r="G51" s="237"/>
      <c r="H51" s="4" t="s">
        <v>42</v>
      </c>
      <c r="K51" s="20"/>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21"/>
    </row>
    <row r="52" spans="1:69" ht="10.5" customHeight="1" x14ac:dyDescent="0.35">
      <c r="A52" s="42"/>
      <c r="B52" s="2"/>
      <c r="E52" s="42"/>
      <c r="F52" s="42"/>
      <c r="G52" s="42"/>
      <c r="H52" s="4" t="s">
        <v>48</v>
      </c>
      <c r="K52" s="20"/>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21"/>
    </row>
    <row r="53" spans="1:69" ht="10.5" customHeight="1" x14ac:dyDescent="0.35">
      <c r="B53" s="2"/>
      <c r="D53" s="42"/>
      <c r="E53" s="42"/>
      <c r="F53" s="42"/>
      <c r="G53" s="42"/>
      <c r="H53" s="11" t="s">
        <v>43</v>
      </c>
      <c r="K53" s="20"/>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21"/>
    </row>
    <row r="54" spans="1:69" ht="10.5" customHeight="1" x14ac:dyDescent="0.35">
      <c r="B54" s="2"/>
      <c r="D54" s="42"/>
      <c r="E54" s="42"/>
      <c r="F54" s="42"/>
      <c r="G54" s="42"/>
      <c r="H54" s="11" t="s">
        <v>44</v>
      </c>
      <c r="I54" s="42"/>
      <c r="J54" s="42"/>
      <c r="K54" s="20"/>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21"/>
    </row>
    <row r="55" spans="1:69" ht="10.5" customHeight="1" x14ac:dyDescent="0.35">
      <c r="B55" s="2"/>
      <c r="D55" s="42"/>
      <c r="E55" s="42"/>
      <c r="F55" s="42"/>
      <c r="G55" s="42"/>
      <c r="H55" s="11"/>
      <c r="I55" s="42"/>
      <c r="J55" s="42"/>
      <c r="K55" s="20"/>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21"/>
    </row>
    <row r="56" spans="1:69" ht="10.5" customHeight="1" x14ac:dyDescent="0.35">
      <c r="B56" s="171" t="str">
        <f>CONCATENATE(" CCSD               ",VLOOKUP(193,T!A2:'T'!K2000,Order!B31+1),"                              ",VLOOKUP(165,T!A2:'T'!K2000,Order!B31+1))</f>
        <v xml:space="preserve"> CCSD               Winter service                              Summer service</v>
      </c>
      <c r="D56" s="42"/>
      <c r="E56" s="42"/>
      <c r="F56" s="42"/>
      <c r="G56" s="42"/>
      <c r="H56" s="88" t="s">
        <v>45</v>
      </c>
      <c r="I56" s="42"/>
      <c r="J56" s="42"/>
      <c r="K56" s="20"/>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21"/>
    </row>
    <row r="57" spans="1:69" ht="10.5" customHeight="1" x14ac:dyDescent="0.35">
      <c r="B57" s="1"/>
      <c r="D57" s="42"/>
      <c r="E57" s="42"/>
      <c r="F57" s="42"/>
      <c r="G57" s="42"/>
      <c r="H57" s="88" t="s">
        <v>46</v>
      </c>
      <c r="I57" s="42"/>
      <c r="J57" s="42"/>
      <c r="K57" s="20"/>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21"/>
    </row>
    <row r="58" spans="1:69" ht="10.5" customHeight="1" x14ac:dyDescent="0.35">
      <c r="D58" s="42"/>
      <c r="E58" s="42"/>
      <c r="F58" s="42"/>
      <c r="G58" s="42"/>
      <c r="H58" s="72" t="s">
        <v>47</v>
      </c>
      <c r="I58" s="42"/>
      <c r="J58" s="42"/>
      <c r="K58" s="20"/>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21"/>
    </row>
    <row r="59" spans="1:69" ht="10.5" customHeight="1" x14ac:dyDescent="0.35">
      <c r="D59" s="42"/>
      <c r="E59" s="42"/>
      <c r="F59" s="42"/>
      <c r="G59" s="42"/>
      <c r="H59" s="42"/>
      <c r="I59" s="42"/>
      <c r="J59" s="42"/>
      <c r="K59" s="20"/>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21"/>
    </row>
    <row r="60" spans="1:69" ht="10.5" customHeight="1" x14ac:dyDescent="0.35">
      <c r="B60" s="2"/>
      <c r="D60" s="42"/>
      <c r="E60" s="42"/>
      <c r="F60" s="42"/>
      <c r="G60" s="42"/>
      <c r="H60" s="42"/>
      <c r="I60" s="42"/>
      <c r="J60" s="42"/>
      <c r="K60" s="20"/>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21"/>
    </row>
    <row r="61" spans="1:69" ht="10.5" customHeight="1" x14ac:dyDescent="0.35">
      <c r="B61" s="2"/>
      <c r="D61" s="42"/>
      <c r="E61" s="42"/>
      <c r="F61" s="42"/>
      <c r="G61" s="42"/>
      <c r="H61" s="42"/>
      <c r="I61" s="42"/>
      <c r="J61" s="42"/>
      <c r="K61" s="20"/>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21"/>
    </row>
    <row r="62" spans="1:69" ht="10.5" customHeight="1" x14ac:dyDescent="0.35">
      <c r="B62" s="1"/>
      <c r="C62" s="1"/>
      <c r="D62" s="42"/>
      <c r="E62" s="42"/>
      <c r="F62" s="42"/>
      <c r="G62" s="42"/>
      <c r="H62" s="42"/>
      <c r="I62" s="42"/>
      <c r="J62" s="42"/>
      <c r="K62" s="20"/>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21"/>
    </row>
    <row r="63" spans="1:69" ht="10.5" customHeight="1" x14ac:dyDescent="0.35">
      <c r="B63" s="1"/>
      <c r="C63" s="1"/>
      <c r="D63" s="42"/>
      <c r="E63" s="42"/>
      <c r="I63" s="42"/>
      <c r="J63" s="42"/>
      <c r="K63" s="20"/>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21"/>
    </row>
    <row r="64" spans="1:69" ht="10.5" customHeight="1" x14ac:dyDescent="0.35">
      <c r="B64" s="171" t="str">
        <f>CONCATENATE(" CCSF               ",VLOOKUP(193,T!A2:'T'!K2000,Order!B31+1),"                              ",VLOOKUP(165,T!A2:'T'!K2000,Order!B31+1))</f>
        <v xml:space="preserve"> CCSF               Winter service                              Summer service</v>
      </c>
      <c r="C64" s="96"/>
      <c r="D64" s="42"/>
      <c r="E64" s="42"/>
      <c r="I64" s="42"/>
      <c r="J64" s="42"/>
      <c r="K64" s="20"/>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21"/>
    </row>
    <row r="65" spans="1:76" ht="10.5" customHeight="1" x14ac:dyDescent="0.35">
      <c r="B65" s="96"/>
      <c r="C65" s="96"/>
      <c r="D65" s="42"/>
      <c r="E65" s="42"/>
      <c r="I65" s="42"/>
      <c r="J65" s="42"/>
      <c r="K65" s="20"/>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21"/>
    </row>
    <row r="66" spans="1:76" ht="10.5" customHeight="1" x14ac:dyDescent="0.35">
      <c r="D66" s="42"/>
      <c r="E66" s="42"/>
      <c r="I66" s="42"/>
      <c r="J66" s="42"/>
      <c r="K66" s="20"/>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21"/>
    </row>
    <row r="67" spans="1:76" ht="10.5" customHeight="1" x14ac:dyDescent="0.35">
      <c r="D67" s="42"/>
      <c r="E67" s="42"/>
      <c r="I67" s="42"/>
      <c r="J67" s="42"/>
      <c r="K67" s="20"/>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21"/>
    </row>
    <row r="68" spans="1:76" ht="10.5" customHeight="1" x14ac:dyDescent="0.35">
      <c r="C68" s="96"/>
      <c r="D68" s="42"/>
      <c r="E68" s="42"/>
      <c r="I68" s="42"/>
      <c r="J68" s="42"/>
      <c r="K68" s="20"/>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21"/>
    </row>
    <row r="69" spans="1:76" ht="10.5" customHeight="1" x14ac:dyDescent="0.35">
      <c r="C69" s="96"/>
      <c r="D69" s="42"/>
      <c r="E69" s="42"/>
      <c r="I69" s="42"/>
      <c r="J69" s="42"/>
      <c r="K69" s="20"/>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21"/>
    </row>
    <row r="70" spans="1:76" ht="10.5" customHeight="1" x14ac:dyDescent="0.35">
      <c r="B70" s="96"/>
      <c r="C70" s="96"/>
      <c r="D70" s="42"/>
      <c r="E70" s="42"/>
      <c r="I70" s="42"/>
      <c r="J70" s="42"/>
      <c r="K70" s="20"/>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21"/>
    </row>
    <row r="71" spans="1:76" ht="10.5" customHeight="1" x14ac:dyDescent="0.35">
      <c r="D71" s="42"/>
      <c r="E71" s="42"/>
      <c r="I71" s="42"/>
      <c r="J71" s="42"/>
      <c r="K71" s="20"/>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21"/>
    </row>
    <row r="72" spans="1:76" ht="10.5" customHeight="1" x14ac:dyDescent="0.35">
      <c r="B72" s="166"/>
      <c r="C72" s="167"/>
      <c r="D72" s="168"/>
      <c r="E72" s="168"/>
      <c r="F72" s="168"/>
      <c r="G72" s="168"/>
      <c r="H72" s="168"/>
      <c r="I72" s="42"/>
      <c r="J72" s="42"/>
      <c r="K72" s="20"/>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21"/>
    </row>
    <row r="73" spans="1:76" ht="10.5" customHeight="1" x14ac:dyDescent="0.35">
      <c r="I73" s="42"/>
      <c r="J73" s="42"/>
      <c r="K73" s="20"/>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21"/>
    </row>
    <row r="74" spans="1:76" ht="10.5" customHeight="1" x14ac:dyDescent="0.35">
      <c r="I74" s="42"/>
      <c r="J74" s="42"/>
      <c r="K74" s="20"/>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21"/>
    </row>
    <row r="75" spans="1:76" ht="10.5" customHeight="1" x14ac:dyDescent="0.35">
      <c r="B75" s="1"/>
      <c r="C75" s="1"/>
      <c r="D75" s="1"/>
      <c r="E75" s="1"/>
      <c r="F75" s="1"/>
      <c r="G75" s="1"/>
      <c r="H75" s="1"/>
      <c r="I75" s="42"/>
      <c r="J75" s="42"/>
      <c r="K75" s="20"/>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21"/>
    </row>
    <row r="76" spans="1:76" ht="10.5" customHeight="1" x14ac:dyDescent="0.35">
      <c r="I76" s="42"/>
      <c r="J76" s="42"/>
      <c r="K76" s="20"/>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21"/>
    </row>
    <row r="77" spans="1:76" ht="10.5" customHeight="1" x14ac:dyDescent="0.35">
      <c r="A77" s="42"/>
      <c r="K77" s="20"/>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21"/>
      <c r="BR77" s="42"/>
      <c r="BS77" s="42"/>
      <c r="BT77" s="42"/>
      <c r="BU77" s="42"/>
      <c r="BV77" s="42"/>
      <c r="BW77" s="42"/>
      <c r="BX77" s="42"/>
    </row>
    <row r="78" spans="1:76" ht="10.5" customHeight="1" x14ac:dyDescent="0.35">
      <c r="A78" s="42"/>
      <c r="K78" s="20"/>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21"/>
      <c r="BR78" s="42"/>
      <c r="BS78" s="42"/>
      <c r="BT78" s="42"/>
      <c r="BU78" s="42"/>
      <c r="BV78" s="42"/>
      <c r="BW78" s="42"/>
      <c r="BX78" s="42"/>
    </row>
    <row r="79" spans="1:76" ht="10.5" customHeight="1" x14ac:dyDescent="0.35">
      <c r="A79" s="42"/>
      <c r="I79" s="42"/>
      <c r="J79" s="42"/>
      <c r="K79" s="20"/>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21"/>
      <c r="BR79" s="42"/>
      <c r="BS79" s="42"/>
      <c r="BT79" s="42"/>
      <c r="BU79" s="42"/>
      <c r="BV79" s="42"/>
      <c r="BW79" s="42"/>
      <c r="BX79" s="42"/>
    </row>
    <row r="80" spans="1:76" ht="10.5" customHeight="1" x14ac:dyDescent="0.35">
      <c r="A80" s="42"/>
      <c r="I80" s="42"/>
      <c r="J80" s="42"/>
      <c r="K80" s="20"/>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21"/>
      <c r="BR80" s="42"/>
      <c r="BS80" s="42"/>
      <c r="BT80" s="42"/>
      <c r="BU80" s="42"/>
      <c r="BV80" s="42"/>
      <c r="BW80" s="42"/>
      <c r="BX80" s="42"/>
    </row>
    <row r="81" spans="1:76" ht="10.5" customHeight="1" x14ac:dyDescent="0.35">
      <c r="A81" s="42"/>
      <c r="I81" s="42"/>
      <c r="J81" s="42"/>
      <c r="K81" s="20"/>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21"/>
      <c r="BR81" s="42"/>
      <c r="BS81" s="42"/>
      <c r="BT81" s="42"/>
      <c r="BU81" s="42"/>
      <c r="BV81" s="42"/>
      <c r="BW81" s="42"/>
      <c r="BX81" s="42"/>
    </row>
    <row r="82" spans="1:76" ht="10.5" customHeight="1" x14ac:dyDescent="0.35">
      <c r="A82" s="42"/>
      <c r="B82" s="1"/>
      <c r="C82" s="1"/>
      <c r="D82" s="1"/>
      <c r="E82" s="1"/>
      <c r="F82" s="1"/>
      <c r="G82" s="1"/>
      <c r="H82" s="1"/>
      <c r="I82" s="42"/>
      <c r="J82" s="42"/>
      <c r="K82" s="20"/>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21"/>
      <c r="BR82" s="42"/>
      <c r="BS82" s="42"/>
      <c r="BT82" s="42"/>
      <c r="BU82" s="42"/>
      <c r="BV82" s="42"/>
      <c r="BW82" s="42"/>
      <c r="BX82" s="42"/>
    </row>
    <row r="83" spans="1:76" ht="10.5" customHeight="1" x14ac:dyDescent="0.35">
      <c r="A83" s="42"/>
      <c r="B83" s="1"/>
      <c r="C83" s="1"/>
      <c r="D83" s="1"/>
      <c r="E83" s="1"/>
      <c r="F83" s="1"/>
      <c r="G83" s="1"/>
      <c r="H83" s="1"/>
      <c r="I83" s="42"/>
      <c r="J83" s="42"/>
      <c r="K83" s="20"/>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21"/>
      <c r="BR83" s="42"/>
      <c r="BS83" s="42"/>
      <c r="BT83" s="42"/>
      <c r="BU83" s="42"/>
      <c r="BV83" s="42"/>
      <c r="BW83" s="42"/>
      <c r="BX83" s="42"/>
    </row>
    <row r="84" spans="1:76" ht="10.5" customHeight="1" x14ac:dyDescent="0.35">
      <c r="A84" s="42"/>
      <c r="B84" s="1"/>
      <c r="C84" s="1"/>
      <c r="D84" s="1"/>
      <c r="E84" s="1"/>
      <c r="F84" s="1"/>
      <c r="G84" s="1"/>
      <c r="H84" s="1"/>
      <c r="I84" s="42"/>
      <c r="J84" s="42"/>
      <c r="K84" s="20"/>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21"/>
      <c r="BR84" s="42"/>
      <c r="BS84" s="42"/>
      <c r="BT84" s="42"/>
      <c r="BU84" s="42"/>
      <c r="BV84" s="42"/>
      <c r="BW84" s="42"/>
      <c r="BX84" s="42"/>
    </row>
    <row r="85" spans="1:76" ht="10.5" customHeight="1" x14ac:dyDescent="0.35">
      <c r="A85" s="42"/>
      <c r="B85" s="1"/>
      <c r="C85" s="1"/>
      <c r="D85" s="1"/>
      <c r="E85" s="1"/>
      <c r="F85" s="1"/>
      <c r="G85" s="1"/>
      <c r="H85" s="1"/>
      <c r="I85" s="42"/>
      <c r="J85" s="42"/>
      <c r="K85" s="98"/>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22"/>
      <c r="BR85" s="42"/>
      <c r="BS85" s="42"/>
      <c r="BT85" s="42"/>
      <c r="BU85" s="42"/>
      <c r="BV85" s="42"/>
      <c r="BW85" s="42"/>
      <c r="BX85" s="42"/>
    </row>
    <row r="86" spans="1:76" ht="10.5" customHeight="1" x14ac:dyDescent="0.35">
      <c r="A86" s="42"/>
      <c r="C86" s="1"/>
      <c r="D86" s="1"/>
      <c r="E86" s="1"/>
      <c r="F86" s="1"/>
      <c r="G86" s="1"/>
      <c r="H86" s="1"/>
      <c r="I86" s="42"/>
      <c r="J86" s="42"/>
      <c r="BQ86" s="42"/>
      <c r="BR86" s="42"/>
      <c r="BS86" s="42"/>
      <c r="BT86" s="42"/>
      <c r="BU86" s="42"/>
      <c r="BV86" s="42"/>
      <c r="BW86" s="42"/>
      <c r="BX86" s="42"/>
    </row>
    <row r="87" spans="1:76" ht="10.5" customHeight="1" x14ac:dyDescent="0.35">
      <c r="A87" s="42"/>
      <c r="B87" s="1"/>
      <c r="C87" s="1"/>
      <c r="D87" s="1"/>
      <c r="E87" s="1"/>
      <c r="F87" s="1"/>
      <c r="G87" s="1"/>
      <c r="H87" s="1"/>
      <c r="I87" s="42"/>
      <c r="J87" s="42"/>
      <c r="BR87" s="42"/>
      <c r="BS87" s="42"/>
      <c r="BT87" s="42"/>
      <c r="BU87" s="42"/>
      <c r="BV87" s="42"/>
      <c r="BW87" s="42"/>
      <c r="BX87" s="42"/>
    </row>
    <row r="88" spans="1:76" ht="10.5" customHeight="1" x14ac:dyDescent="0.35">
      <c r="A88" s="42"/>
      <c r="C88" s="96"/>
      <c r="D88" s="1"/>
      <c r="E88" s="1"/>
      <c r="F88" s="1"/>
      <c r="G88" s="1"/>
      <c r="H88" s="1"/>
      <c r="I88" s="42"/>
      <c r="J88" s="42"/>
      <c r="BR88" s="42"/>
      <c r="BS88" s="42"/>
      <c r="BT88" s="42"/>
      <c r="BU88" s="42"/>
      <c r="BV88" s="42"/>
      <c r="BW88" s="42"/>
      <c r="BX88" s="42"/>
    </row>
    <row r="89" spans="1:76" ht="10.5" customHeight="1" x14ac:dyDescent="0.35">
      <c r="A89" s="42"/>
      <c r="C89" s="96"/>
      <c r="D89" s="96"/>
      <c r="E89" s="96"/>
      <c r="F89" s="96"/>
      <c r="G89" s="96"/>
      <c r="H89" s="96"/>
      <c r="I89" s="42"/>
      <c r="J89" s="42"/>
      <c r="BR89" s="42"/>
      <c r="BS89" s="42"/>
      <c r="BT89" s="42"/>
      <c r="BU89" s="42"/>
      <c r="BV89" s="42"/>
      <c r="BW89" s="42"/>
      <c r="BX89" s="42"/>
    </row>
    <row r="90" spans="1:76" ht="10.5" customHeight="1" x14ac:dyDescent="0.35">
      <c r="A90" s="42"/>
      <c r="I90" s="42"/>
      <c r="J90" s="42"/>
      <c r="BR90" s="42"/>
      <c r="BS90" s="42"/>
      <c r="BT90" s="42"/>
      <c r="BU90" s="42"/>
      <c r="BV90" s="42"/>
      <c r="BW90" s="42"/>
      <c r="BX90" s="42"/>
    </row>
    <row r="91" spans="1:76" ht="10.5" customHeight="1" x14ac:dyDescent="0.35">
      <c r="A91" s="42"/>
      <c r="B91" s="96"/>
      <c r="C91" s="96"/>
      <c r="D91" s="96"/>
      <c r="E91" s="96"/>
      <c r="F91" s="96"/>
      <c r="G91" s="96"/>
      <c r="H91" s="96"/>
      <c r="I91" s="42"/>
      <c r="J91" s="42"/>
      <c r="BR91" s="42"/>
      <c r="BS91" s="42"/>
      <c r="BT91" s="42"/>
      <c r="BU91" s="42"/>
      <c r="BV91" s="42"/>
      <c r="BW91" s="42"/>
      <c r="BX91" s="42"/>
    </row>
    <row r="92" spans="1:76" ht="10.5" customHeight="1" x14ac:dyDescent="0.35">
      <c r="B92" s="96"/>
      <c r="C92" s="96"/>
      <c r="D92" s="96"/>
      <c r="E92" s="96"/>
      <c r="F92" s="96"/>
      <c r="G92" s="96"/>
      <c r="H92" s="96"/>
      <c r="BR92" s="42"/>
      <c r="BS92" s="42"/>
      <c r="BT92" s="42"/>
      <c r="BU92" s="42"/>
      <c r="BV92" s="42"/>
      <c r="BW92" s="42"/>
      <c r="BX92" s="42"/>
    </row>
    <row r="93" spans="1:76" ht="10.5" customHeight="1" x14ac:dyDescent="0.35">
      <c r="B93" s="96"/>
      <c r="C93" s="96"/>
      <c r="D93" s="96"/>
      <c r="E93" s="96"/>
      <c r="F93" s="96"/>
      <c r="G93" s="96"/>
      <c r="H93" s="96"/>
      <c r="BR93" s="42"/>
      <c r="BS93" s="42"/>
      <c r="BT93" s="42"/>
      <c r="BU93" s="42"/>
      <c r="BV93" s="42"/>
      <c r="BW93" s="42"/>
      <c r="BX93" s="42"/>
    </row>
    <row r="94" spans="1:76" ht="10.5" customHeight="1" x14ac:dyDescent="0.35">
      <c r="B94" s="96"/>
      <c r="C94" s="96"/>
      <c r="D94" s="96"/>
      <c r="E94" s="96"/>
      <c r="F94" s="96"/>
      <c r="G94" s="96"/>
      <c r="H94" s="96"/>
      <c r="BR94" s="42"/>
      <c r="BS94" s="42"/>
      <c r="BT94" s="42"/>
      <c r="BU94" s="42"/>
      <c r="BV94" s="42"/>
      <c r="BW94" s="42"/>
      <c r="BX94" s="42"/>
    </row>
    <row r="95" spans="1:76" ht="10.5" customHeight="1" x14ac:dyDescent="0.35">
      <c r="B95" s="96"/>
      <c r="C95" s="96"/>
      <c r="D95" s="96"/>
      <c r="E95" s="96"/>
      <c r="F95" s="96"/>
      <c r="G95" s="96"/>
      <c r="H95" s="96"/>
      <c r="BR95" s="42"/>
      <c r="BS95" s="42"/>
      <c r="BT95" s="42"/>
      <c r="BU95" s="42"/>
      <c r="BV95" s="42"/>
      <c r="BW95" s="42"/>
      <c r="BX95" s="42"/>
    </row>
    <row r="96" spans="1:76" ht="10.5" customHeight="1" x14ac:dyDescent="0.35">
      <c r="B96" s="96"/>
      <c r="C96" s="96"/>
      <c r="D96" s="96"/>
      <c r="E96" s="96"/>
      <c r="F96" s="96"/>
      <c r="G96" s="96"/>
      <c r="H96" s="96"/>
      <c r="BR96" s="42"/>
      <c r="BS96" s="42"/>
      <c r="BT96" s="42"/>
      <c r="BU96" s="42"/>
      <c r="BV96" s="42"/>
      <c r="BW96" s="42"/>
      <c r="BX96" s="42"/>
    </row>
    <row r="97" spans="2:76" ht="10.5" customHeight="1" x14ac:dyDescent="0.35">
      <c r="B97" s="96"/>
      <c r="C97" s="96"/>
      <c r="D97" s="96"/>
      <c r="E97" s="96"/>
      <c r="F97" s="96"/>
      <c r="G97" s="96"/>
      <c r="H97" s="96"/>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row>
    <row r="98" spans="2:76" ht="10.45" customHeight="1" x14ac:dyDescent="0.35">
      <c r="B98" s="96"/>
      <c r="C98" s="96"/>
      <c r="D98" s="96"/>
      <c r="E98" s="96"/>
      <c r="F98" s="96"/>
      <c r="G98" s="96"/>
      <c r="H98" s="96"/>
      <c r="S98" s="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row>
    <row r="99" spans="2:76" ht="10.45" customHeight="1" x14ac:dyDescent="0.35">
      <c r="B99" s="96"/>
      <c r="C99" s="96"/>
      <c r="D99" s="96"/>
      <c r="E99" s="96"/>
      <c r="F99" s="96"/>
      <c r="G99" s="96"/>
      <c r="H99" s="96"/>
      <c r="S99" s="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row>
    <row r="100" spans="2:76" ht="10.45" customHeight="1" x14ac:dyDescent="0.35">
      <c r="B100" s="96"/>
      <c r="C100" s="96"/>
      <c r="D100" s="96"/>
      <c r="E100" s="96"/>
      <c r="F100" s="96"/>
      <c r="G100" s="96"/>
      <c r="H100" s="96"/>
      <c r="S100" s="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row>
    <row r="101" spans="2:76" ht="10.45" customHeight="1" x14ac:dyDescent="0.35">
      <c r="B101" s="96"/>
      <c r="C101" s="96"/>
      <c r="D101" s="96"/>
      <c r="E101" s="96"/>
      <c r="F101" s="96"/>
      <c r="G101" s="96"/>
      <c r="H101" s="96"/>
      <c r="S101" s="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row>
    <row r="102" spans="2:76" ht="10.45" customHeight="1" x14ac:dyDescent="0.35">
      <c r="B102" s="96"/>
      <c r="C102" s="96"/>
      <c r="D102" s="96"/>
      <c r="E102" s="96"/>
      <c r="F102" s="96"/>
      <c r="G102" s="96"/>
      <c r="H102" s="96"/>
      <c r="S102" s="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row>
    <row r="103" spans="2:76" ht="10.45" customHeight="1" x14ac:dyDescent="0.35">
      <c r="B103" s="96"/>
      <c r="C103" s="96"/>
      <c r="D103" s="96"/>
      <c r="E103" s="96"/>
      <c r="F103" s="96"/>
      <c r="G103" s="96"/>
      <c r="H103" s="96"/>
      <c r="S103" s="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row>
    <row r="104" spans="2:76" ht="10.45" customHeight="1" x14ac:dyDescent="0.35">
      <c r="B104" s="96"/>
      <c r="C104" s="96"/>
      <c r="D104" s="96"/>
      <c r="E104" s="96"/>
      <c r="F104" s="96"/>
      <c r="G104" s="96"/>
      <c r="H104" s="96"/>
      <c r="S104" s="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row>
    <row r="105" spans="2:76" ht="10.45" customHeight="1" x14ac:dyDescent="0.35">
      <c r="B105" s="96"/>
      <c r="C105" s="96"/>
      <c r="D105" s="96"/>
      <c r="E105" s="96"/>
      <c r="F105" s="96"/>
      <c r="G105" s="96"/>
      <c r="H105" s="96"/>
      <c r="S105" s="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row>
    <row r="106" spans="2:76" ht="10.45" customHeight="1" x14ac:dyDescent="0.35">
      <c r="B106" s="96"/>
      <c r="C106" s="96"/>
      <c r="D106" s="96"/>
      <c r="E106" s="96"/>
      <c r="F106" s="96"/>
      <c r="G106" s="96"/>
      <c r="H106" s="96"/>
      <c r="S106" s="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row>
    <row r="107" spans="2:76" ht="10.45" customHeight="1" x14ac:dyDescent="0.35">
      <c r="B107" s="96"/>
      <c r="C107" s="96"/>
      <c r="D107" s="96"/>
      <c r="E107" s="96"/>
      <c r="F107" s="96"/>
      <c r="G107" s="96"/>
      <c r="H107" s="96"/>
      <c r="S107" s="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row>
    <row r="108" spans="2:76" ht="10.45" customHeight="1" x14ac:dyDescent="0.35">
      <c r="B108" s="42"/>
      <c r="C108" s="42"/>
      <c r="S108" s="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row>
    <row r="109" spans="2:76" ht="10.45" customHeight="1" x14ac:dyDescent="0.35">
      <c r="B109" s="42"/>
      <c r="C109" s="42"/>
      <c r="S109" s="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row>
    <row r="110" spans="2:76" ht="10.45" customHeight="1" x14ac:dyDescent="0.35">
      <c r="B110" s="42"/>
      <c r="C110" s="42"/>
      <c r="S110" s="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row>
    <row r="111" spans="2:76" ht="10.45" customHeight="1" x14ac:dyDescent="0.35">
      <c r="B111" s="42"/>
      <c r="C111" s="42"/>
      <c r="S111" s="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row>
    <row r="112" spans="2:76" ht="10.45" customHeight="1" x14ac:dyDescent="0.35">
      <c r="B112" s="42"/>
      <c r="C112" s="42"/>
      <c r="S112" s="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row>
    <row r="113" spans="2:76" ht="10.45" customHeight="1" x14ac:dyDescent="0.35">
      <c r="B113" s="42"/>
      <c r="C113" s="42"/>
      <c r="S113" s="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row>
    <row r="114" spans="2:76" ht="10.45" customHeight="1" x14ac:dyDescent="0.35">
      <c r="B114" s="42"/>
      <c r="C114" s="42"/>
      <c r="S114" s="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row>
    <row r="115" spans="2:76" ht="10.45" customHeight="1" x14ac:dyDescent="0.35">
      <c r="B115" s="42"/>
      <c r="C115" s="42"/>
      <c r="S115" s="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row>
    <row r="116" spans="2:76" ht="10.45" customHeight="1" x14ac:dyDescent="0.35">
      <c r="B116" s="42"/>
      <c r="C116" s="42"/>
      <c r="S116" s="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row>
    <row r="117" spans="2:76" ht="10.45" customHeight="1" x14ac:dyDescent="0.35">
      <c r="B117" s="42"/>
      <c r="C117" s="42"/>
      <c r="S117" s="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row>
    <row r="118" spans="2:76" ht="10.45" customHeight="1" x14ac:dyDescent="0.35">
      <c r="B118" s="42"/>
      <c r="C118" s="42"/>
      <c r="S118" s="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row>
    <row r="119" spans="2:76" ht="10.45" customHeight="1" x14ac:dyDescent="0.35">
      <c r="B119" s="42"/>
      <c r="C119" s="42"/>
      <c r="S119" s="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row>
    <row r="120" spans="2:76" ht="10.45" customHeight="1" x14ac:dyDescent="0.35">
      <c r="B120" s="42"/>
      <c r="C120" s="42"/>
      <c r="S120" s="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row>
    <row r="121" spans="2:76" ht="10.45" customHeight="1" x14ac:dyDescent="0.35">
      <c r="B121" s="42"/>
      <c r="C121" s="42"/>
      <c r="S121" s="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row>
    <row r="122" spans="2:76" ht="10.45" customHeight="1" x14ac:dyDescent="0.35">
      <c r="B122" s="42"/>
      <c r="C122" s="42"/>
      <c r="S122" s="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row>
    <row r="123" spans="2:76" ht="10.45" customHeight="1" x14ac:dyDescent="0.35">
      <c r="B123" s="42"/>
      <c r="C123" s="42"/>
      <c r="S123" s="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row>
    <row r="124" spans="2:76" ht="10.45" customHeight="1" x14ac:dyDescent="0.35">
      <c r="B124" s="42"/>
      <c r="C124" s="42"/>
      <c r="S124" s="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row>
    <row r="125" spans="2:76" ht="10.45" customHeight="1" x14ac:dyDescent="0.35">
      <c r="B125" s="42"/>
      <c r="C125" s="42"/>
      <c r="S125" s="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row>
    <row r="126" spans="2:76" ht="10.45" customHeight="1" x14ac:dyDescent="0.35">
      <c r="B126" s="42"/>
      <c r="C126" s="42"/>
      <c r="S126" s="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row>
    <row r="127" spans="2:76" ht="10.45" customHeight="1" x14ac:dyDescent="0.35">
      <c r="B127" s="42"/>
      <c r="C127" s="42"/>
      <c r="S127" s="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row>
    <row r="128" spans="2:76" ht="10.45" customHeight="1" x14ac:dyDescent="0.35">
      <c r="S128" s="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row>
    <row r="129" spans="19:76" ht="10.45" customHeight="1" x14ac:dyDescent="0.35">
      <c r="S129" s="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row>
    <row r="130" spans="19:76" ht="10.45" customHeight="1" x14ac:dyDescent="0.35">
      <c r="S130" s="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row>
    <row r="131" spans="19:76" ht="10.45" customHeight="1" x14ac:dyDescent="0.35">
      <c r="S131" s="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row>
    <row r="132" spans="19:76" ht="10.45" customHeight="1" x14ac:dyDescent="0.35">
      <c r="S132" s="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row>
    <row r="133" spans="19:76" ht="10.45" customHeight="1" x14ac:dyDescent="0.35">
      <c r="S133" s="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row>
    <row r="134" spans="19:76" ht="10.45" customHeight="1" x14ac:dyDescent="0.35">
      <c r="S134" s="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row>
    <row r="135" spans="19:76" ht="10.45" customHeight="1" x14ac:dyDescent="0.35">
      <c r="S135" s="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row>
    <row r="136" spans="19:76" ht="10.45" customHeight="1" x14ac:dyDescent="0.35">
      <c r="S136" s="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row>
    <row r="137" spans="19:76" ht="10.45" customHeight="1" x14ac:dyDescent="0.35">
      <c r="S137" s="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row>
    <row r="138" spans="19:76" ht="10.45" customHeight="1" x14ac:dyDescent="0.35">
      <c r="S138" s="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row>
    <row r="139" spans="19:76" ht="10.45" customHeight="1" x14ac:dyDescent="0.35">
      <c r="S139" s="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row>
    <row r="140" spans="19:76" ht="10.45" customHeight="1" x14ac:dyDescent="0.35">
      <c r="S140" s="2"/>
    </row>
    <row r="141" spans="19:76" ht="10.45" customHeight="1" x14ac:dyDescent="0.35">
      <c r="S141" s="2"/>
    </row>
    <row r="142" spans="19:76" ht="10.45" customHeight="1" x14ac:dyDescent="0.35">
      <c r="S142" s="2"/>
    </row>
    <row r="143" spans="19:76" ht="10.45" customHeight="1" x14ac:dyDescent="0.35">
      <c r="S143" s="2"/>
    </row>
    <row r="144" spans="19:76" ht="10.45" customHeight="1" x14ac:dyDescent="0.35">
      <c r="S144" s="2"/>
    </row>
    <row r="145" spans="19:19" ht="10.45" customHeight="1" x14ac:dyDescent="0.35">
      <c r="S145" s="2"/>
    </row>
    <row r="185" spans="2:2" ht="10.45" customHeight="1" x14ac:dyDescent="0.35">
      <c r="B185" s="5"/>
    </row>
    <row r="186" spans="2:2" ht="10.45" customHeight="1" x14ac:dyDescent="0.35">
      <c r="B186" s="5"/>
    </row>
    <row r="187" spans="2:2" ht="10.45" customHeight="1" x14ac:dyDescent="0.35">
      <c r="B187" s="5"/>
    </row>
    <row r="188" spans="2:2" ht="10.45" customHeight="1" x14ac:dyDescent="0.35">
      <c r="B188" s="5"/>
    </row>
    <row r="189" spans="2:2" ht="10.45" customHeight="1" x14ac:dyDescent="0.35">
      <c r="B189" s="5"/>
    </row>
    <row r="190" spans="2:2" ht="10.45" customHeight="1" x14ac:dyDescent="0.35">
      <c r="B190" s="5"/>
    </row>
    <row r="191" spans="2:2" ht="10.45" customHeight="1" x14ac:dyDescent="0.35">
      <c r="B191" s="5"/>
    </row>
    <row r="192" spans="2:2" ht="10.45" customHeight="1" x14ac:dyDescent="0.35">
      <c r="B192" s="5"/>
    </row>
    <row r="193" spans="2:2" ht="10.45" customHeight="1" x14ac:dyDescent="0.35">
      <c r="B193" s="5"/>
    </row>
    <row r="194" spans="2:2" ht="10.45" customHeight="1" x14ac:dyDescent="0.35">
      <c r="B194" s="5"/>
    </row>
    <row r="195" spans="2:2" ht="10.45" customHeight="1" x14ac:dyDescent="0.35">
      <c r="B195" s="5"/>
    </row>
    <row r="196" spans="2:2" ht="10.45" customHeight="1" x14ac:dyDescent="0.35">
      <c r="B196" s="5"/>
    </row>
  </sheetData>
  <sheetProtection algorithmName="SHA-512" hashValue="cuVwTwkcrbJ3uitEAPr8XUXKbvOsG63uq9NfY4pH+EyLo7NkyXCYy3nIpc6IVBaOzPQbueR8loQR+I2udL7PYw==" saltValue="YeqF0i2L99pr/TMKvoS/Ew==" spinCount="100000" sheet="1" objects="1" scenarios="1"/>
  <mergeCells count="24">
    <mergeCell ref="Q2:Q3"/>
    <mergeCell ref="R2:R3"/>
    <mergeCell ref="N2:P3"/>
    <mergeCell ref="N4:P4"/>
    <mergeCell ref="N5:P5"/>
    <mergeCell ref="N6:P6"/>
    <mergeCell ref="B37:H43"/>
    <mergeCell ref="B44:H48"/>
    <mergeCell ref="N17:O23"/>
    <mergeCell ref="N10:O16"/>
    <mergeCell ref="N7:P7"/>
    <mergeCell ref="N8:P8"/>
    <mergeCell ref="B25:C26"/>
    <mergeCell ref="D25:D26"/>
    <mergeCell ref="H25:H26"/>
    <mergeCell ref="B31:H36"/>
    <mergeCell ref="B2:C3"/>
    <mergeCell ref="H2:H3"/>
    <mergeCell ref="L2:L3"/>
    <mergeCell ref="K2:K3"/>
    <mergeCell ref="D2:D3"/>
    <mergeCell ref="E2:E3"/>
    <mergeCell ref="G2:G3"/>
    <mergeCell ref="F2:F3"/>
  </mergeCells>
  <hyperlinks>
    <hyperlink ref="H56" r:id="rId1" xr:uid="{00000000-0004-0000-0100-000001000000}"/>
    <hyperlink ref="H57" r:id="rId2" xr:uid="{00000000-0004-0000-0100-000002000000}"/>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7A80-4C14-43E1-B218-A80C9BFD86C9}">
  <dimension ref="A1:AQ161"/>
  <sheetViews>
    <sheetView workbookViewId="0">
      <selection activeCell="K50" sqref="K50"/>
    </sheetView>
  </sheetViews>
  <sheetFormatPr baseColWidth="10" defaultColWidth="11.3984375" defaultRowHeight="10.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4" width="11.3984375" style="1" customWidth="1"/>
    <col min="15" max="16" width="11.3984375" style="1"/>
    <col min="17" max="17" width="11.3984375" style="1" customWidth="1"/>
    <col min="18" max="18" width="11.3984375" style="42" customWidth="1"/>
    <col min="19" max="19" width="0.86328125" style="42" customWidth="1"/>
    <col min="20" max="16384" width="11.3984375" style="2"/>
  </cols>
  <sheetData>
    <row r="1" spans="2:32" ht="10.5" customHeight="1" x14ac:dyDescent="0.35">
      <c r="B1" s="5"/>
    </row>
    <row r="2" spans="2:32" ht="10.5" customHeight="1" x14ac:dyDescent="0.35">
      <c r="B2" s="345" t="str">
        <f>VLOOKUP(275,T!A2:'T'!K2000,Order!B31+1)</f>
        <v>Excel-based applications are now only offered unprotected because they have been cracked. However, they can be installed on multiple computers.</v>
      </c>
      <c r="C2" s="346"/>
      <c r="D2" s="320" t="str">
        <f>VLOOKUP(22,T!A2:'T'!K2000,Order!B31+1)</f>
        <v>Full</v>
      </c>
      <c r="E2" s="320" t="str">
        <f>VLOOKUP(23,T!A2:'T'!K2000,Order!B31+1)</f>
        <v>Update</v>
      </c>
      <c r="F2" s="320" t="str">
        <f>VLOOKUP(24,T!A2:'T'!K2000,Order!B31+1)</f>
        <v>Upgrade</v>
      </c>
      <c r="G2" s="320" t="str">
        <f>VLOOKUP(25,T!A2:'T'!K2000,Order!B31+1)</f>
        <v>Type</v>
      </c>
      <c r="H2" s="321" t="str">
        <f>VLOOKUP(Order!B36,Order!B33:'Order'!D35,2)</f>
        <v>CHF</v>
      </c>
      <c r="I2" s="42"/>
      <c r="J2" s="42"/>
      <c r="K2" s="320" t="str">
        <f>VLOOKUP(26,T!A2:'T'!K2000,Order!B31+1)</f>
        <v>Test</v>
      </c>
      <c r="L2" s="320" t="str">
        <f>VLOOKUP(27,T!A2:'T'!K2000,Order!B31+1)</f>
        <v>Selection</v>
      </c>
      <c r="N2" s="316" t="str">
        <f>VLOOKUP(200,T!A2:'T'!K2000,Order!B31+1)</f>
        <v>Price examples</v>
      </c>
      <c r="O2" s="317"/>
      <c r="P2" s="317"/>
      <c r="Q2" s="320" t="str">
        <f>VLOOKUP(22,T!A2:'T'!K2000,Order!B31+1)</f>
        <v>Full</v>
      </c>
      <c r="R2" s="320" t="str">
        <f>VLOOKUP(25,T!A2:'T'!K2000,Order!B31+1)</f>
        <v>Type</v>
      </c>
      <c r="T2" s="339" t="s">
        <v>776</v>
      </c>
      <c r="U2" s="340"/>
      <c r="V2" s="340"/>
      <c r="W2" s="340"/>
      <c r="X2" s="340"/>
      <c r="Y2" s="340"/>
      <c r="Z2" s="340"/>
      <c r="AA2" s="340"/>
      <c r="AB2" s="340"/>
      <c r="AC2" s="340"/>
      <c r="AD2" s="340"/>
      <c r="AE2" s="340"/>
      <c r="AF2" s="341"/>
    </row>
    <row r="3" spans="2:32" ht="10.5" customHeight="1" x14ac:dyDescent="0.35">
      <c r="B3" s="347"/>
      <c r="C3" s="348"/>
      <c r="D3" s="296"/>
      <c r="E3" s="296"/>
      <c r="F3" s="296"/>
      <c r="G3" s="296"/>
      <c r="H3" s="322"/>
      <c r="I3" s="42"/>
      <c r="J3" s="42"/>
      <c r="K3" s="296"/>
      <c r="L3" s="296"/>
      <c r="N3" s="319"/>
      <c r="O3" s="303"/>
      <c r="P3" s="303"/>
      <c r="Q3" s="296"/>
      <c r="R3" s="296"/>
      <c r="T3" s="342"/>
      <c r="U3" s="343"/>
      <c r="V3" s="343"/>
      <c r="W3" s="343"/>
      <c r="X3" s="343"/>
      <c r="Y3" s="343"/>
      <c r="Z3" s="343"/>
      <c r="AA3" s="343"/>
      <c r="AB3" s="343"/>
      <c r="AC3" s="343"/>
      <c r="AD3" s="343"/>
      <c r="AE3" s="343"/>
      <c r="AF3" s="344"/>
    </row>
    <row r="4" spans="2:32" ht="10.5" customHeight="1" x14ac:dyDescent="0.35">
      <c r="B4" s="148" t="s">
        <v>295</v>
      </c>
      <c r="C4" s="36" t="str">
        <f>VLOOKUP(195,T!A2:'T'!K2000,Order!B31+1)</f>
        <v>AHH-Excel-Version (Mollier-TX-Chart)</v>
      </c>
      <c r="D4" s="37"/>
      <c r="E4" s="37"/>
      <c r="F4" s="37"/>
      <c r="G4" s="74">
        <v>2</v>
      </c>
      <c r="H4" s="18">
        <f>ROUND((Order!AL4*Order!AO4+Order!AM4*Order!AP4+Order!AN4*Order!AQ4)*IF(G4&lt;=1,1,IF(G4=2,2,"")),0)</f>
        <v>0</v>
      </c>
      <c r="I4" s="42"/>
      <c r="J4" s="42"/>
      <c r="K4" s="63" t="b">
        <f t="shared" ref="K4" si="0">IF(AND(D4="",E4="",F4=""),FALSE,TRUE)</f>
        <v>0</v>
      </c>
      <c r="L4" s="40">
        <v>2</v>
      </c>
      <c r="N4" s="323" t="str">
        <f>VLOOKUP(194,T!A2:'T'!K2000,Order!B31+1)</f>
        <v>Full version for 1 unprotected application</v>
      </c>
      <c r="O4" s="279"/>
      <c r="P4" s="280"/>
      <c r="Q4" s="75">
        <v>1</v>
      </c>
      <c r="R4" s="74">
        <v>2</v>
      </c>
      <c r="T4" s="99"/>
      <c r="U4" s="100"/>
      <c r="V4" s="100"/>
      <c r="W4" s="100"/>
      <c r="X4" s="100"/>
      <c r="Y4" s="140"/>
      <c r="Z4" s="140"/>
      <c r="AA4" s="140"/>
      <c r="AB4" s="140"/>
      <c r="AC4" s="140"/>
      <c r="AD4" s="140"/>
      <c r="AE4" s="140"/>
      <c r="AF4" s="141"/>
    </row>
    <row r="5" spans="2:32" ht="10.5" customHeight="1" x14ac:dyDescent="0.35">
      <c r="B5" s="148" t="s">
        <v>825</v>
      </c>
      <c r="C5" s="36" t="str">
        <f>VLOOKUP(16,T!A2:'T'!K2000,Order!B31+1)</f>
        <v>Economy from air-handling units with energy recovery</v>
      </c>
      <c r="D5" s="37"/>
      <c r="E5" s="37"/>
      <c r="F5" s="37"/>
      <c r="G5" s="74">
        <v>2</v>
      </c>
      <c r="H5" s="18">
        <f>ROUND((Order!AL5*Order!AO5+Order!AM5*Order!AP5+Order!AN5*Order!AQ5)*IF(G5&lt;=1,1,IF(G5=2,2,"")),0)</f>
        <v>0</v>
      </c>
      <c r="I5" s="42"/>
      <c r="J5" s="42"/>
      <c r="K5" s="63" t="b">
        <f t="shared" ref="K5" si="1">IF(AND(D5="",E5="",F5=""),FALSE,TRUE)</f>
        <v>0</v>
      </c>
      <c r="L5" s="40">
        <v>2</v>
      </c>
      <c r="N5" s="313" t="s">
        <v>971</v>
      </c>
      <c r="O5" s="314"/>
      <c r="P5" s="315"/>
      <c r="Q5" s="176" t="s">
        <v>971</v>
      </c>
      <c r="R5" s="176" t="s">
        <v>971</v>
      </c>
      <c r="T5" s="147"/>
      <c r="U5" s="312" t="str">
        <f>VLOOKUP(47,T!A2:'T'!K2000,Order!B31+1)</f>
        <v>Applicable for any gases, such as air, which contain environmentally harmful vapors, which can be condensed and separated by cooling. The vapors are in practice mixtures of water vapor and environmentally harmful vapors such as acetone. For this, the laws of Raoult and Dalton are used, which describe how the partial pressure of this mixture can be calculated.</v>
      </c>
      <c r="V5" s="312"/>
      <c r="W5" s="312"/>
      <c r="X5" s="312"/>
      <c r="Y5" s="312"/>
      <c r="Z5" s="312"/>
      <c r="AA5" s="312"/>
      <c r="AB5" s="312"/>
      <c r="AC5" s="312"/>
      <c r="AD5" s="312"/>
      <c r="AE5" s="312"/>
      <c r="AF5" s="133"/>
    </row>
    <row r="6" spans="2:32" ht="10.5" customHeight="1" x14ac:dyDescent="0.35">
      <c r="B6" s="148" t="s">
        <v>973</v>
      </c>
      <c r="C6" s="36" t="str">
        <f>VLOOKUP(15,T!A2:'T'!K2000,Order!B31+1)</f>
        <v>Economy comparison of circuit connected systems</v>
      </c>
      <c r="D6" s="37"/>
      <c r="E6" s="37"/>
      <c r="F6" s="37"/>
      <c r="G6" s="74">
        <v>2</v>
      </c>
      <c r="H6" s="18">
        <f>ROUND((Order!AL6*Order!AO6+Order!AM6*Order!AP6+Order!AN6*Order!AQ6)*IF(G6&lt;=1,1,IF(G6=2,2,"")),0)</f>
        <v>0</v>
      </c>
      <c r="I6" s="42"/>
      <c r="J6" s="42"/>
      <c r="K6" s="63" t="b">
        <f t="shared" ref="K6" si="2">IF(AND(D6="",E6="",F6=""),FALSE,TRUE)</f>
        <v>0</v>
      </c>
      <c r="L6" s="40">
        <v>2</v>
      </c>
      <c r="N6" s="313" t="s">
        <v>971</v>
      </c>
      <c r="O6" s="314"/>
      <c r="P6" s="315"/>
      <c r="Q6" s="176" t="s">
        <v>971</v>
      </c>
      <c r="R6" s="176" t="s">
        <v>971</v>
      </c>
      <c r="T6" s="147"/>
      <c r="U6" s="312"/>
      <c r="V6" s="312"/>
      <c r="W6" s="312"/>
      <c r="X6" s="312"/>
      <c r="Y6" s="312"/>
      <c r="Z6" s="312"/>
      <c r="AA6" s="312"/>
      <c r="AB6" s="312"/>
      <c r="AC6" s="312"/>
      <c r="AD6" s="312"/>
      <c r="AE6" s="312"/>
      <c r="AF6" s="133"/>
    </row>
    <row r="7" spans="2:32" ht="10.5" customHeight="1" x14ac:dyDescent="0.35">
      <c r="B7" s="66" t="s">
        <v>4</v>
      </c>
      <c r="C7" s="15" t="str">
        <f>VLOOKUP(66,T!A2:'T'!K2000,Order!B31+1)</f>
        <v>Fin coil air heater with liquid agents</v>
      </c>
      <c r="D7" s="67"/>
      <c r="E7" s="67"/>
      <c r="F7" s="67"/>
      <c r="G7" s="40">
        <v>2</v>
      </c>
      <c r="H7" s="18">
        <f>ROUND((Order!AL7*Order!AO7+Order!AM7*Order!AP7+Order!AN7*Order!AQ7)*IF(G7&lt;=1,1,IF(G7=2,2,"")),0)</f>
        <v>0</v>
      </c>
      <c r="I7" s="149"/>
      <c r="J7" s="150"/>
      <c r="K7" s="24" t="b">
        <f t="shared" ref="K7:K11" si="3">IF(AND(D7="",E7="",F7=""),FALSE,TRUE)</f>
        <v>0</v>
      </c>
      <c r="L7" s="40">
        <v>2</v>
      </c>
      <c r="T7" s="147"/>
      <c r="U7" s="312"/>
      <c r="V7" s="312"/>
      <c r="W7" s="312"/>
      <c r="X7" s="312"/>
      <c r="Y7" s="312"/>
      <c r="Z7" s="312"/>
      <c r="AA7" s="312"/>
      <c r="AB7" s="312"/>
      <c r="AC7" s="312"/>
      <c r="AD7" s="312"/>
      <c r="AE7" s="312"/>
      <c r="AF7" s="133"/>
    </row>
    <row r="8" spans="2:32" ht="10.5" customHeight="1" x14ac:dyDescent="0.35">
      <c r="B8" s="12"/>
      <c r="C8" s="13" t="str">
        <f>VLOOKUP(67,T!A2:'T'!K2000,Order!B31+1)</f>
        <v>Fin coil air cooler with liquid agents</v>
      </c>
      <c r="D8" s="33"/>
      <c r="E8" s="33"/>
      <c r="F8" s="33"/>
      <c r="G8" s="26">
        <v>2</v>
      </c>
      <c r="H8" s="17">
        <f>ROUND((Order!AL8*Order!AO8+Order!AM8*Order!AP8+Order!AN8*Order!AQ8)*IF(G8&lt;=1,1,IF(G8=2,2,"")),0)</f>
        <v>0</v>
      </c>
      <c r="K8" s="24" t="b">
        <f t="shared" si="3"/>
        <v>0</v>
      </c>
      <c r="L8" s="26">
        <v>2</v>
      </c>
      <c r="N8" s="316" t="str">
        <f>VLOOKUP(45,T!A2:'T'!K2000,Order!B31+1)</f>
        <v>Note</v>
      </c>
      <c r="O8" s="317"/>
      <c r="P8" s="317"/>
      <c r="Q8" s="317"/>
      <c r="R8" s="318"/>
      <c r="T8" s="147"/>
      <c r="U8" s="312"/>
      <c r="V8" s="312"/>
      <c r="W8" s="312"/>
      <c r="X8" s="312"/>
      <c r="Y8" s="312"/>
      <c r="Z8" s="312"/>
      <c r="AA8" s="312"/>
      <c r="AB8" s="312"/>
      <c r="AC8" s="312"/>
      <c r="AD8" s="312"/>
      <c r="AE8" s="312"/>
      <c r="AF8" s="133"/>
    </row>
    <row r="9" spans="2:32" ht="10.5" customHeight="1" x14ac:dyDescent="0.35">
      <c r="B9" s="12"/>
      <c r="C9" s="13" t="str">
        <f>VLOOKUP(68,T!A2:'T'!K2000,Order!B31+1)</f>
        <v>Fin coil refrigerant condenser</v>
      </c>
      <c r="D9" s="33"/>
      <c r="E9" s="33"/>
      <c r="F9" s="33"/>
      <c r="G9" s="26">
        <v>2</v>
      </c>
      <c r="H9" s="17">
        <f>ROUND((Order!AL9*Order!AO9+Order!AM9*Order!AP9+Order!AN9*Order!AQ9)*IF(G9&lt;=1,1,IF(G9=2,2,"")),0)</f>
        <v>0</v>
      </c>
      <c r="K9" s="24" t="b">
        <f t="shared" si="3"/>
        <v>0</v>
      </c>
      <c r="L9" s="26">
        <v>2</v>
      </c>
      <c r="N9" s="319"/>
      <c r="O9" s="303"/>
      <c r="P9" s="303"/>
      <c r="Q9" s="303"/>
      <c r="R9" s="304"/>
      <c r="T9" s="147"/>
      <c r="U9" s="144"/>
      <c r="V9" s="144"/>
      <c r="W9" s="144"/>
      <c r="X9" s="144"/>
      <c r="Y9" s="132"/>
      <c r="Z9" s="132"/>
      <c r="AA9" s="132"/>
      <c r="AB9" s="132"/>
      <c r="AC9" s="132"/>
      <c r="AD9" s="132"/>
      <c r="AE9" s="132"/>
      <c r="AF9" s="133"/>
    </row>
    <row r="10" spans="2:32" ht="10.5" customHeight="1" x14ac:dyDescent="0.35">
      <c r="B10" s="12"/>
      <c r="C10" s="13" t="str">
        <f>VLOOKUP(69,T!A2:'T'!K2000,Order!B31+1)</f>
        <v>Fin coil refrigerant DX-Evaporator</v>
      </c>
      <c r="D10" s="33"/>
      <c r="E10" s="33"/>
      <c r="F10" s="33"/>
      <c r="G10" s="26">
        <v>2</v>
      </c>
      <c r="H10" s="17">
        <f>ROUND((Order!AL10*Order!AO10+Order!AM10*Order!AP10+Order!AN10*Order!AQ10)*IF(G10&lt;=1,1,IF(G10=2,2,"")),0)</f>
        <v>0</v>
      </c>
      <c r="K10" s="24" t="b">
        <f t="shared" si="3"/>
        <v>0</v>
      </c>
      <c r="L10" s="26">
        <v>2</v>
      </c>
      <c r="N10" s="330" t="str">
        <f>VLOOKUP(44,T!A2:'T'!K2000,Order!B31+1)</f>
        <v>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v>
      </c>
      <c r="O10" s="331"/>
      <c r="P10" s="331"/>
      <c r="Q10" s="331"/>
      <c r="R10" s="332"/>
      <c r="T10" s="147"/>
      <c r="U10" s="144"/>
      <c r="V10" s="144"/>
      <c r="W10" s="144"/>
      <c r="X10" s="144"/>
      <c r="Y10" s="132"/>
      <c r="Z10" s="132"/>
      <c r="AA10" s="132"/>
      <c r="AB10" s="132"/>
      <c r="AC10" s="132"/>
      <c r="AD10" s="132"/>
      <c r="AE10" s="132"/>
      <c r="AF10" s="133"/>
    </row>
    <row r="11" spans="2:32" ht="10.5" customHeight="1" x14ac:dyDescent="0.35">
      <c r="B11" s="12"/>
      <c r="C11" s="13" t="str">
        <f>VLOOKUP(70,T!A2:'T'!K2000,Order!B31+1)</f>
        <v>Fin coil refrigerant RC-Evaporator</v>
      </c>
      <c r="D11" s="33"/>
      <c r="E11" s="33"/>
      <c r="F11" s="33"/>
      <c r="G11" s="26">
        <v>2</v>
      </c>
      <c r="H11" s="17">
        <f>ROUND((Order!AL11*Order!AO11+Order!AM11*Order!AP11+Order!AN11*Order!AQ11)*IF(G11&lt;=1,1,IF(G11=2,2,"")),0)</f>
        <v>0</v>
      </c>
      <c r="K11" s="24" t="b">
        <f t="shared" si="3"/>
        <v>0</v>
      </c>
      <c r="L11" s="26">
        <v>2</v>
      </c>
      <c r="N11" s="333"/>
      <c r="O11" s="334"/>
      <c r="P11" s="334"/>
      <c r="Q11" s="334"/>
      <c r="R11" s="335"/>
      <c r="T11" s="146"/>
      <c r="U11" s="13"/>
      <c r="V11" s="144"/>
      <c r="W11" s="144"/>
      <c r="X11" s="144"/>
      <c r="Y11" s="13"/>
      <c r="Z11" s="13"/>
      <c r="AA11" s="13"/>
      <c r="AB11" s="13"/>
      <c r="AC11" s="13"/>
      <c r="AD11" s="13"/>
      <c r="AE11" s="13"/>
      <c r="AF11" s="21"/>
    </row>
    <row r="12" spans="2:32" ht="10.5" customHeight="1" x14ac:dyDescent="0.35">
      <c r="B12" s="12"/>
      <c r="C12" s="13" t="str">
        <f>VLOOKUP(71,T!A2:'T'!K2000,Order!B31+1)</f>
        <v>Fin coil CO2 cooler in the supercritical area</v>
      </c>
      <c r="D12" s="33"/>
      <c r="E12" s="33"/>
      <c r="F12" s="33"/>
      <c r="G12" s="26">
        <v>2</v>
      </c>
      <c r="H12" s="17">
        <f>ROUND((Order!AL12*Order!AO12+Order!AM12*Order!AP12+Order!AN12*Order!AQ12)*IF(G12&lt;=1,1,IF(G12=2,2,"")),0)</f>
        <v>0</v>
      </c>
      <c r="K12" s="24" t="b">
        <f t="shared" ref="K12:K25" si="4">IF(AND(D12="",E12="",F12=""),FALSE,TRUE)</f>
        <v>0</v>
      </c>
      <c r="L12" s="26">
        <v>2</v>
      </c>
      <c r="N12" s="333"/>
      <c r="O12" s="334"/>
      <c r="P12" s="334"/>
      <c r="Q12" s="334"/>
      <c r="R12" s="335"/>
      <c r="T12" s="146"/>
      <c r="U12" s="13"/>
      <c r="V12" s="145"/>
      <c r="W12" s="145"/>
      <c r="X12" s="145"/>
      <c r="Y12" s="13"/>
      <c r="Z12" s="13"/>
      <c r="AA12" s="13"/>
      <c r="AB12" s="13"/>
      <c r="AC12" s="13"/>
      <c r="AD12" s="13"/>
      <c r="AE12" s="13"/>
      <c r="AF12" s="21"/>
    </row>
    <row r="13" spans="2:32" ht="10.5" customHeight="1" x14ac:dyDescent="0.35">
      <c r="B13" s="12"/>
      <c r="C13" s="13" t="str">
        <f>VLOOKUP(178,T!A2:'T'!K2000,Order!B31+1)</f>
        <v>Fin coil refrigerant hot gas cooler</v>
      </c>
      <c r="D13" s="33"/>
      <c r="E13" s="33"/>
      <c r="F13" s="33"/>
      <c r="G13" s="26">
        <v>2</v>
      </c>
      <c r="H13" s="17">
        <f>ROUND((Order!AL13*Order!AO13+Order!AM13*Order!AP13+Order!AN13*Order!AQ13)*IF(G13&lt;=1,1,IF(G13=2,2,"")),0)</f>
        <v>0</v>
      </c>
      <c r="K13" s="24" t="b">
        <f t="shared" si="4"/>
        <v>0</v>
      </c>
      <c r="L13" s="26">
        <v>2</v>
      </c>
      <c r="N13" s="333"/>
      <c r="O13" s="334"/>
      <c r="P13" s="334"/>
      <c r="Q13" s="334"/>
      <c r="R13" s="335"/>
      <c r="T13" s="146"/>
      <c r="U13" s="145"/>
      <c r="V13" s="145"/>
      <c r="W13" s="145"/>
      <c r="X13" s="145"/>
      <c r="Y13" s="13"/>
      <c r="Z13" s="13"/>
      <c r="AA13" s="13"/>
      <c r="AB13" s="13"/>
      <c r="AC13" s="13"/>
      <c r="AD13" s="13"/>
      <c r="AE13" s="13"/>
      <c r="AF13" s="21"/>
    </row>
    <row r="14" spans="2:32" ht="10.5" customHeight="1" x14ac:dyDescent="0.35">
      <c r="B14" s="12"/>
      <c r="C14" s="13" t="str">
        <f>VLOOKUP(76,T!A2:'T'!K2000,Order!B31+1)</f>
        <v>Fin coil vapor condenser</v>
      </c>
      <c r="D14" s="33"/>
      <c r="E14" s="33"/>
      <c r="F14" s="33"/>
      <c r="G14" s="26">
        <v>2</v>
      </c>
      <c r="H14" s="17">
        <f>ROUND((Order!AL14*Order!AO14+Order!AM14*Order!AP14+Order!AN14*Order!AQ14)*IF(G14&lt;=1,1,IF(G14=2,2,"")),0)</f>
        <v>0</v>
      </c>
      <c r="K14" s="24" t="b">
        <f t="shared" si="4"/>
        <v>0</v>
      </c>
      <c r="L14" s="26">
        <v>2</v>
      </c>
      <c r="N14" s="333"/>
      <c r="O14" s="334"/>
      <c r="P14" s="334"/>
      <c r="Q14" s="334"/>
      <c r="R14" s="335"/>
      <c r="T14" s="146"/>
      <c r="U14" s="145"/>
      <c r="V14" s="145"/>
      <c r="W14" s="145"/>
      <c r="X14" s="145"/>
      <c r="Y14" s="13"/>
      <c r="Z14" s="13"/>
      <c r="AA14" s="13"/>
      <c r="AB14" s="13"/>
      <c r="AC14" s="13"/>
      <c r="AD14" s="13"/>
      <c r="AE14" s="13"/>
      <c r="AF14" s="21"/>
    </row>
    <row r="15" spans="2:32" ht="10.5" customHeight="1" x14ac:dyDescent="0.35">
      <c r="B15" s="12"/>
      <c r="C15" s="151" t="str">
        <f>VLOOKUP(77,T!A2:'T'!K2000,Order!B31+1)</f>
        <v>Smoot tubes vapor condenser</v>
      </c>
      <c r="D15" s="152"/>
      <c r="E15" s="152"/>
      <c r="F15" s="152"/>
      <c r="G15" s="154">
        <v>2</v>
      </c>
      <c r="H15" s="153">
        <f>ROUND((Order!AL15*Order!AO15+Order!AM15*Order!AP15+Order!AN15*Order!AQ15)*IF(G15&lt;=1,1,IF(G15=2,2,"")),0)</f>
        <v>0</v>
      </c>
      <c r="K15" s="223" t="b">
        <f t="shared" si="4"/>
        <v>0</v>
      </c>
      <c r="L15" s="154">
        <v>2</v>
      </c>
      <c r="N15" s="336"/>
      <c r="O15" s="337"/>
      <c r="P15" s="337"/>
      <c r="Q15" s="337"/>
      <c r="R15" s="338"/>
      <c r="T15" s="146"/>
      <c r="U15" s="145"/>
      <c r="V15" s="145"/>
      <c r="W15" s="145"/>
      <c r="X15" s="145"/>
      <c r="Y15" s="13"/>
      <c r="Z15" s="13"/>
      <c r="AA15" s="13"/>
      <c r="AB15" s="13"/>
      <c r="AC15" s="13"/>
      <c r="AD15" s="13"/>
      <c r="AE15" s="13"/>
      <c r="AF15" s="21"/>
    </row>
    <row r="16" spans="2:32" ht="10.5" customHeight="1" x14ac:dyDescent="0.35">
      <c r="B16" s="12"/>
      <c r="C16" s="13" t="str">
        <f>VLOOKUP(216,T!A2:'T'!K2000,Order!B31+1)</f>
        <v>Fin coil air cooler with liquid agents - Electric defroster</v>
      </c>
      <c r="D16" s="33"/>
      <c r="E16" s="33"/>
      <c r="F16" s="33"/>
      <c r="G16" s="26">
        <v>2</v>
      </c>
      <c r="H16" s="69">
        <f>ROUND((Order!AL16*Order!AO16+Order!AM16*Order!AP16+Order!AN16*Order!AQ16)*IF(G16&lt;=1,1,IF(G16=2,2,"")),0)</f>
        <v>0</v>
      </c>
      <c r="K16" s="208" t="b">
        <f t="shared" si="4"/>
        <v>0</v>
      </c>
      <c r="L16" s="26">
        <v>2</v>
      </c>
      <c r="T16" s="146"/>
      <c r="U16" s="145"/>
      <c r="V16" s="145"/>
      <c r="W16" s="145"/>
      <c r="X16" s="145"/>
      <c r="Y16" s="13"/>
      <c r="Z16" s="13"/>
      <c r="AA16" s="13"/>
      <c r="AB16" s="13"/>
      <c r="AC16" s="13"/>
      <c r="AD16" s="13"/>
      <c r="AE16" s="13"/>
      <c r="AF16" s="21"/>
    </row>
    <row r="17" spans="2:32" ht="10.5" customHeight="1" x14ac:dyDescent="0.35">
      <c r="B17" s="12"/>
      <c r="C17" s="13" t="str">
        <f>VLOOKUP(52,T!A2:'T'!K2000,Order!B31+1)</f>
        <v>Fin coil refrigerant DX-Evaporator - Electric defroster</v>
      </c>
      <c r="D17" s="33"/>
      <c r="E17" s="33"/>
      <c r="F17" s="33"/>
      <c r="G17" s="26">
        <v>2</v>
      </c>
      <c r="H17" s="17">
        <f>ROUND((Order!AL17*Order!AO17+Order!AM17*Order!AP17+Order!AN17*Order!AQ17)*IF(G17&lt;=1,1,IF(G17=2,2,"")),0)</f>
        <v>0</v>
      </c>
      <c r="K17" s="24" t="b">
        <f t="shared" si="4"/>
        <v>0</v>
      </c>
      <c r="L17" s="26">
        <v>2</v>
      </c>
      <c r="N17" s="305" t="str">
        <f>VLOOKUP(161,T!A2:'T'!K2000,Order!B31+1)</f>
        <v>Commonly used energy recovery systems</v>
      </c>
      <c r="O17" s="306"/>
      <c r="P17" s="306"/>
      <c r="Q17" s="306"/>
      <c r="R17" s="307"/>
      <c r="T17" s="146"/>
      <c r="U17" s="145"/>
      <c r="V17" s="145"/>
      <c r="W17" s="145"/>
      <c r="X17" s="145"/>
      <c r="Y17" s="132"/>
      <c r="Z17" s="132"/>
      <c r="AA17" s="132"/>
      <c r="AB17" s="132"/>
      <c r="AC17" s="132"/>
      <c r="AD17" s="132"/>
      <c r="AE17" s="132"/>
      <c r="AF17" s="133"/>
    </row>
    <row r="18" spans="2:32" ht="10.5" customHeight="1" x14ac:dyDescent="0.35">
      <c r="B18" s="12"/>
      <c r="C18" s="13" t="str">
        <f>VLOOKUP(53,T!A2:'T'!K2000,Order!B31+1)</f>
        <v>Fin coil refrigerant RC-Evaporator - Electric defroster</v>
      </c>
      <c r="D18" s="33"/>
      <c r="E18" s="33"/>
      <c r="F18" s="33"/>
      <c r="G18" s="26">
        <v>2</v>
      </c>
      <c r="H18" s="159">
        <f>ROUND((Order!AL18*Order!AO18+Order!AM18*Order!AP18+Order!AN18*Order!AQ18)*IF(G18&lt;=1,1,IF(G18=2,2,"")),0)</f>
        <v>0</v>
      </c>
      <c r="K18" s="24" t="b">
        <f t="shared" si="4"/>
        <v>0</v>
      </c>
      <c r="L18" s="26">
        <v>2</v>
      </c>
      <c r="N18" s="308"/>
      <c r="O18" s="309"/>
      <c r="P18" s="309"/>
      <c r="Q18" s="309"/>
      <c r="R18" s="310"/>
      <c r="T18" s="146"/>
      <c r="U18" s="145"/>
      <c r="V18" s="145"/>
      <c r="W18" s="145"/>
      <c r="X18" s="145"/>
      <c r="Y18" s="132"/>
      <c r="Z18" s="132"/>
      <c r="AA18" s="132"/>
      <c r="AB18" s="132"/>
      <c r="AC18" s="132"/>
      <c r="AD18" s="132"/>
      <c r="AE18" s="132"/>
      <c r="AF18" s="133"/>
    </row>
    <row r="19" spans="2:32" ht="10.5" customHeight="1" x14ac:dyDescent="0.35">
      <c r="B19" s="44"/>
      <c r="C19" s="155" t="str">
        <f>VLOOKUP(203,T!A2:'T'!K2000,Order!B31+1)</f>
        <v>Fin coil air cooler with liquid agents - Defroster with liquid agents</v>
      </c>
      <c r="D19" s="156"/>
      <c r="E19" s="156"/>
      <c r="F19" s="156"/>
      <c r="G19" s="160">
        <v>2</v>
      </c>
      <c r="H19" s="17">
        <f>ROUND((Order!AL19*Order!AO19+Order!AM19*Order!AP19+Order!AN19*Order!AQ19)*IF(G19&lt;=1,1,IF(G19=2,2,"")),0)</f>
        <v>0</v>
      </c>
      <c r="K19" s="208" t="b">
        <f t="shared" si="4"/>
        <v>0</v>
      </c>
      <c r="L19" s="160">
        <v>2</v>
      </c>
      <c r="N19" s="99"/>
      <c r="O19" s="100"/>
      <c r="P19" s="100"/>
      <c r="Q19" s="100"/>
      <c r="R19" s="101"/>
      <c r="T19" s="146"/>
      <c r="U19" s="145"/>
      <c r="V19" s="145"/>
      <c r="W19" s="145"/>
      <c r="X19" s="145"/>
      <c r="Y19" s="132"/>
      <c r="Z19" s="132"/>
      <c r="AA19" s="132"/>
      <c r="AB19" s="132"/>
      <c r="AC19" s="132"/>
      <c r="AD19" s="132"/>
      <c r="AE19" s="132"/>
      <c r="AF19" s="133"/>
    </row>
    <row r="20" spans="2:32" ht="10.5" customHeight="1" x14ac:dyDescent="0.35">
      <c r="B20" s="44"/>
      <c r="C20" s="13" t="str">
        <f>VLOOKUP(198,T!A2:'T'!K2000,Order!B31+1)</f>
        <v>Fin coil refrigerant DX-Evaporator - Defroster with liquid agents</v>
      </c>
      <c r="D20" s="33"/>
      <c r="E20" s="33"/>
      <c r="F20" s="33"/>
      <c r="G20" s="26">
        <v>2</v>
      </c>
      <c r="H20" s="17">
        <f>ROUND((Order!AL20*Order!AO20+Order!AM20*Order!AP20+Order!AN20*Order!AQ20)*IF(G20&lt;=1,1,IF(G20=2,2,"")),0)</f>
        <v>0</v>
      </c>
      <c r="K20" s="24" t="b">
        <f t="shared" si="4"/>
        <v>0</v>
      </c>
      <c r="L20" s="26">
        <v>2</v>
      </c>
      <c r="N20" s="79"/>
      <c r="O20" s="102" t="str">
        <f>VLOOKUP(193,T!A2:'T'!K2000,Order!B31+1)</f>
        <v>Winter service</v>
      </c>
      <c r="P20" s="13"/>
      <c r="Q20" s="102" t="str">
        <f>VLOOKUP(165,T!A2:'T'!K2000,Order!B31+1)</f>
        <v>Summer service</v>
      </c>
      <c r="R20" s="21"/>
      <c r="T20" s="146"/>
      <c r="U20" s="145"/>
      <c r="V20" s="145"/>
      <c r="W20" s="145"/>
      <c r="X20" s="145"/>
      <c r="Y20" s="132"/>
      <c r="Z20" s="132"/>
      <c r="AA20" s="132"/>
      <c r="AB20" s="132"/>
      <c r="AC20" s="132"/>
      <c r="AD20" s="132"/>
      <c r="AE20" s="132"/>
      <c r="AF20" s="133"/>
    </row>
    <row r="21" spans="2:32" ht="10.5" customHeight="1" x14ac:dyDescent="0.35">
      <c r="B21" s="12"/>
      <c r="C21" s="157" t="str">
        <f>VLOOKUP(199,T!A2:'T'!K2000,Order!B31+1)</f>
        <v>Fin coil refrigerant RC-Evaporator - Defroster with liquid agents</v>
      </c>
      <c r="D21" s="158"/>
      <c r="E21" s="158"/>
      <c r="F21" s="158"/>
      <c r="G21" s="161">
        <v>2</v>
      </c>
      <c r="H21" s="17">
        <f>ROUND((Order!AL21*Order!AO21+Order!AM21*Order!AP21+Order!AN21*Order!AQ21)*IF(G21&lt;=1,1,IF(G21=2,2,"")),0)</f>
        <v>0</v>
      </c>
      <c r="K21" s="209" t="b">
        <f t="shared" si="4"/>
        <v>0</v>
      </c>
      <c r="L21" s="161">
        <v>2</v>
      </c>
      <c r="N21" s="79"/>
      <c r="O21" s="103"/>
      <c r="P21" s="103"/>
      <c r="Q21" s="13"/>
      <c r="R21" s="21"/>
      <c r="T21" s="146"/>
      <c r="U21" s="145"/>
      <c r="V21" s="145"/>
      <c r="W21" s="145"/>
      <c r="X21" s="145"/>
      <c r="Y21" s="132"/>
      <c r="Z21" s="132"/>
      <c r="AA21" s="132"/>
      <c r="AB21" s="132"/>
      <c r="AC21" s="132"/>
      <c r="AD21" s="132"/>
      <c r="AE21" s="132"/>
      <c r="AF21" s="133"/>
    </row>
    <row r="22" spans="2:32" ht="10.5" customHeight="1" x14ac:dyDescent="0.35">
      <c r="B22" s="12"/>
      <c r="C22" s="155" t="str">
        <f>VLOOKUP(74,T!A2:'T'!K2000,Order!B31+1)</f>
        <v>Fin coil changeover with liquid agents</v>
      </c>
      <c r="D22" s="156"/>
      <c r="E22" s="156"/>
      <c r="F22" s="156"/>
      <c r="G22" s="160">
        <v>2</v>
      </c>
      <c r="H22" s="69">
        <f>ROUND((Order!AL22*Order!AO22+Order!AM22*Order!AP22+Order!AN22*Order!AQ22)*IF(G22&lt;=1,1,IF(G22=2,2,"")),0)</f>
        <v>0</v>
      </c>
      <c r="K22" s="24" t="b">
        <f t="shared" si="4"/>
        <v>0</v>
      </c>
      <c r="L22" s="160">
        <v>2</v>
      </c>
      <c r="N22" s="14" t="s">
        <v>191</v>
      </c>
      <c r="O22" s="13"/>
      <c r="P22" s="103"/>
      <c r="Q22" s="13"/>
      <c r="R22" s="21"/>
      <c r="T22" s="20"/>
      <c r="U22" s="13"/>
      <c r="V22" s="13"/>
      <c r="W22" s="13"/>
      <c r="X22" s="13"/>
      <c r="Y22" s="132"/>
      <c r="Z22" s="132"/>
      <c r="AA22" s="132"/>
      <c r="AB22" s="132"/>
      <c r="AC22" s="132"/>
      <c r="AD22" s="132"/>
      <c r="AE22" s="132"/>
      <c r="AF22" s="133"/>
    </row>
    <row r="23" spans="2:32" ht="10.5" customHeight="1" x14ac:dyDescent="0.35">
      <c r="B23" s="12"/>
      <c r="C23" s="13" t="str">
        <f>VLOOKUP(75,T!A2:'T'!K2000,Order!B31+1)</f>
        <v>Fin coil changeover with refrigerants</v>
      </c>
      <c r="D23" s="33"/>
      <c r="E23" s="33"/>
      <c r="F23" s="33"/>
      <c r="G23" s="26">
        <v>2</v>
      </c>
      <c r="H23" s="17">
        <f>ROUND((Order!AL23*Order!AO23+Order!AM23*Order!AP23+Order!AN23*Order!AQ23)*IF(G23&lt;=1,1,IF(G23=2,2,"")),0)</f>
        <v>0</v>
      </c>
      <c r="K23" s="24" t="b">
        <f t="shared" si="4"/>
        <v>0</v>
      </c>
      <c r="L23" s="26">
        <v>2</v>
      </c>
      <c r="N23" s="79"/>
      <c r="O23" s="13"/>
      <c r="P23" s="103"/>
      <c r="Q23" s="13"/>
      <c r="R23" s="21"/>
      <c r="T23" s="20"/>
      <c r="U23" s="13"/>
      <c r="V23" s="13"/>
      <c r="W23" s="13"/>
      <c r="X23" s="13"/>
      <c r="Y23" s="132"/>
      <c r="Z23" s="132"/>
      <c r="AA23" s="132"/>
      <c r="AB23" s="132"/>
      <c r="AC23" s="132"/>
      <c r="AD23" s="132"/>
      <c r="AE23" s="132"/>
      <c r="AF23" s="133"/>
    </row>
    <row r="24" spans="2:32" ht="10.5" customHeight="1" x14ac:dyDescent="0.35">
      <c r="B24" s="12"/>
      <c r="C24" s="13" t="str">
        <f>VLOOKUP(175,T!A2:'T'!K2000,Order!B31+1)</f>
        <v>Fin coil changeover CO2 supercritical</v>
      </c>
      <c r="D24" s="33"/>
      <c r="E24" s="33"/>
      <c r="F24" s="33"/>
      <c r="G24" s="26">
        <v>2</v>
      </c>
      <c r="H24" s="159">
        <f>ROUND((Order!AL24*Order!AO24+Order!AM24*Order!AP24+Order!AN24*Order!AQ24)*IF(G24&lt;=1,1,IF(G24=2,2,"")),0)</f>
        <v>0</v>
      </c>
      <c r="K24" s="24" t="b">
        <f t="shared" si="4"/>
        <v>0</v>
      </c>
      <c r="L24" s="26">
        <v>2</v>
      </c>
      <c r="N24" s="79"/>
      <c r="O24" s="103"/>
      <c r="P24" s="103"/>
      <c r="Q24" s="13"/>
      <c r="R24" s="21"/>
      <c r="T24" s="20"/>
      <c r="U24" s="13"/>
      <c r="V24" s="13"/>
      <c r="W24" s="13"/>
      <c r="X24" s="13"/>
      <c r="Y24" s="132"/>
      <c r="Z24" s="132"/>
      <c r="AA24" s="132"/>
      <c r="AB24" s="132"/>
      <c r="AC24" s="132"/>
      <c r="AD24" s="132"/>
      <c r="AE24" s="132"/>
      <c r="AF24" s="133"/>
    </row>
    <row r="25" spans="2:32" ht="10.5" customHeight="1" x14ac:dyDescent="0.35">
      <c r="B25" s="12"/>
      <c r="C25" s="151" t="str">
        <f>VLOOKUP(129,T!A2:'T'!K2000,Order!B31+1)</f>
        <v>Fin coil air cooler with liquid agents on cocurrent</v>
      </c>
      <c r="D25" s="152"/>
      <c r="E25" s="152"/>
      <c r="F25" s="152"/>
      <c r="G25" s="154">
        <v>2</v>
      </c>
      <c r="H25" s="153">
        <f>ROUND((Order!AL25*Order!AO25+Order!AM25*Order!AP25+Order!AN25*Order!AQ25)*IF(G25&lt;=1,1,IF(G25=2,2,"")),0)</f>
        <v>0</v>
      </c>
      <c r="K25" s="223" t="b">
        <f t="shared" si="4"/>
        <v>0</v>
      </c>
      <c r="L25" s="154">
        <v>2</v>
      </c>
      <c r="N25" s="79"/>
      <c r="O25" s="13"/>
      <c r="P25" s="103"/>
      <c r="Q25" s="13"/>
      <c r="R25" s="21"/>
      <c r="T25" s="20"/>
      <c r="U25" s="13"/>
      <c r="V25" s="13"/>
      <c r="W25" s="13"/>
      <c r="X25" s="13"/>
      <c r="Y25" s="132"/>
      <c r="Z25" s="132"/>
      <c r="AA25" s="132"/>
      <c r="AB25" s="132"/>
      <c r="AC25" s="132"/>
      <c r="AD25" s="132"/>
      <c r="AE25" s="132"/>
      <c r="AF25" s="133"/>
    </row>
    <row r="26" spans="2:32" ht="10.5" customHeight="1" x14ac:dyDescent="0.35">
      <c r="B26" s="12"/>
      <c r="C26" s="155" t="str">
        <f>VLOOKUP(242,T!A2:'T'!K2000,Order!B31+1)</f>
        <v>Pillow plate heat exchanger for recovery of harmful vapors</v>
      </c>
      <c r="D26" s="156"/>
      <c r="E26" s="156"/>
      <c r="F26" s="156"/>
      <c r="G26" s="160">
        <v>2</v>
      </c>
      <c r="H26" s="69">
        <f>ROUND((Order!AL26*Order!AO26+Order!AM26*Order!AP26+Order!AN26*Order!AQ26)*IF(G26&lt;=1,1,IF(G26=2,2,"")),0)</f>
        <v>0</v>
      </c>
      <c r="K26" s="208" t="b">
        <f t="shared" ref="K26:K27" si="5">IF(AND(D26="",E26="",F26=""),FALSE,TRUE)</f>
        <v>0</v>
      </c>
      <c r="L26" s="160">
        <v>2</v>
      </c>
      <c r="N26" s="79"/>
      <c r="O26" s="103"/>
      <c r="P26" s="103"/>
      <c r="Q26" s="13"/>
      <c r="R26" s="21"/>
      <c r="T26" s="20"/>
      <c r="U26" s="13"/>
      <c r="V26" s="13"/>
      <c r="W26" s="13"/>
      <c r="X26" s="13"/>
      <c r="Y26" s="132"/>
      <c r="Z26" s="132"/>
      <c r="AA26" s="132"/>
      <c r="AB26" s="132"/>
      <c r="AC26" s="132"/>
      <c r="AD26" s="132"/>
      <c r="AE26" s="132"/>
      <c r="AF26" s="133"/>
    </row>
    <row r="27" spans="2:32" ht="10.5" customHeight="1" x14ac:dyDescent="0.35">
      <c r="B27" s="12"/>
      <c r="C27" s="13" t="str">
        <f>VLOOKUP(243,T!A2:'T'!K2000,Order!B31+1)</f>
        <v>Pillow plate heat exchanger for ice storage</v>
      </c>
      <c r="D27" s="33"/>
      <c r="E27" s="33"/>
      <c r="F27" s="33"/>
      <c r="G27" s="26">
        <v>2</v>
      </c>
      <c r="H27" s="17">
        <f>ROUND((Order!AL27*Order!AO27+Order!AM27*Order!AP27+Order!AN27*Order!AQ27)*IF(G27&lt;=1,1,IF(G27=2,2,"")),0)</f>
        <v>0</v>
      </c>
      <c r="K27" s="24" t="b">
        <f t="shared" si="5"/>
        <v>0</v>
      </c>
      <c r="L27" s="26">
        <v>2</v>
      </c>
      <c r="N27" s="79"/>
      <c r="O27" s="13"/>
      <c r="P27" s="103"/>
      <c r="Q27" s="13"/>
      <c r="R27" s="21"/>
      <c r="T27" s="20"/>
      <c r="U27" s="13"/>
      <c r="V27" s="13"/>
      <c r="W27" s="13"/>
      <c r="X27" s="13"/>
      <c r="Y27" s="132"/>
      <c r="Z27" s="132"/>
      <c r="AA27" s="132"/>
      <c r="AB27" s="132"/>
      <c r="AC27" s="132"/>
      <c r="AD27" s="132"/>
      <c r="AE27" s="132"/>
      <c r="AF27" s="133"/>
    </row>
    <row r="28" spans="2:32" ht="10.5" customHeight="1" x14ac:dyDescent="0.35">
      <c r="B28" s="12"/>
      <c r="C28" s="16" t="str">
        <f>VLOOKUP(247,T!A2:'T'!K2000,Order!B31+1)</f>
        <v>Pillow plate heat exchanger, falling film chiller for ice water</v>
      </c>
      <c r="D28" s="34"/>
      <c r="E28" s="34"/>
      <c r="F28" s="34"/>
      <c r="G28" s="26">
        <v>2</v>
      </c>
      <c r="H28" s="17">
        <f>ROUND((Order!AL28*Order!AO28+Order!AM28*Order!AP28+Order!AN28*Order!AQ28)*IF(G28&lt;=1,1,IF(G28=2,2,"")),0)</f>
        <v>0</v>
      </c>
      <c r="K28" s="209" t="b">
        <f t="shared" ref="K28:K29" si="6">IF(AND(D28="",E28="",F28=""),FALSE,TRUE)</f>
        <v>0</v>
      </c>
      <c r="L28" s="26">
        <v>2</v>
      </c>
      <c r="N28" s="14" t="s">
        <v>192</v>
      </c>
      <c r="O28" s="13"/>
      <c r="P28" s="13"/>
      <c r="Q28" s="13"/>
      <c r="R28" s="21"/>
      <c r="T28" s="20"/>
      <c r="U28" s="13"/>
      <c r="V28" s="13"/>
      <c r="W28" s="13"/>
      <c r="X28" s="13"/>
      <c r="Y28" s="132"/>
      <c r="Z28" s="132"/>
      <c r="AA28" s="132"/>
      <c r="AB28" s="132"/>
      <c r="AC28" s="132"/>
      <c r="AD28" s="132"/>
      <c r="AE28" s="132"/>
      <c r="AF28" s="133"/>
    </row>
    <row r="29" spans="2:32" ht="10.5" customHeight="1" x14ac:dyDescent="0.35">
      <c r="B29" s="35" t="s">
        <v>1080</v>
      </c>
      <c r="C29" s="64" t="str">
        <f>VLOOKUP(128,T!A2:'T'!K2000,Order!B31+1)</f>
        <v>Subcritical: Optimize the process in refrigerant circuits</v>
      </c>
      <c r="D29" s="37"/>
      <c r="E29" s="37"/>
      <c r="F29" s="37"/>
      <c r="G29" s="74">
        <v>2</v>
      </c>
      <c r="H29" s="38">
        <f>ROUND((Order!AL29*Order!AO29+Order!AM29*Order!AP29+Order!AN29*Order!AQ29)*IF(G29&lt;=1,1,IF(G29=2,2,"")),0)</f>
        <v>0</v>
      </c>
      <c r="K29" s="63" t="b">
        <f t="shared" si="6"/>
        <v>0</v>
      </c>
      <c r="L29" s="74">
        <v>2</v>
      </c>
      <c r="N29" s="79"/>
      <c r="O29" s="103"/>
      <c r="P29" s="103"/>
      <c r="Q29" s="13"/>
      <c r="R29" s="21"/>
      <c r="T29" s="20"/>
      <c r="U29" s="13"/>
      <c r="V29" s="13"/>
      <c r="W29" s="13"/>
      <c r="X29" s="13"/>
      <c r="Y29" s="132"/>
      <c r="Z29" s="132"/>
      <c r="AA29" s="132"/>
      <c r="AB29" s="132"/>
      <c r="AC29" s="132"/>
      <c r="AD29" s="132"/>
      <c r="AE29" s="132"/>
      <c r="AF29" s="133"/>
    </row>
    <row r="30" spans="2:32" ht="10.5" customHeight="1" x14ac:dyDescent="0.35">
      <c r="B30" s="35" t="s">
        <v>858</v>
      </c>
      <c r="C30" s="64" t="str">
        <f>VLOOKUP(120,T!A2:'T'!K2000,Order!B31+1)</f>
        <v>Subcritical: Capillary pressure drop in the DX-Evaporator</v>
      </c>
      <c r="D30" s="37"/>
      <c r="E30" s="37"/>
      <c r="F30" s="37"/>
      <c r="G30" s="74">
        <v>2</v>
      </c>
      <c r="H30" s="38">
        <f>ROUND((Order!AL30*Order!AO30+Order!AM30*Order!AP30+Order!AN30*Order!AQ30)*IF(G30&lt;=1,1,IF(G30=2,2,"")),0)</f>
        <v>0</v>
      </c>
      <c r="K30" s="63" t="b">
        <f t="shared" ref="K30:K39" si="7">IF(AND(D30="",E30="",F30=""),FALSE,TRUE)</f>
        <v>0</v>
      </c>
      <c r="L30" s="74">
        <v>2</v>
      </c>
      <c r="N30" s="79"/>
      <c r="O30" s="103"/>
      <c r="P30" s="103"/>
      <c r="Q30" s="13"/>
      <c r="R30" s="21"/>
      <c r="T30" s="20"/>
      <c r="U30" s="13"/>
      <c r="V30" s="13"/>
      <c r="W30" s="13"/>
      <c r="X30" s="13"/>
      <c r="Y30" s="132"/>
      <c r="Z30" s="132"/>
      <c r="AA30" s="132"/>
      <c r="AB30" s="132"/>
      <c r="AC30" s="132"/>
      <c r="AD30" s="132"/>
      <c r="AE30" s="132"/>
      <c r="AF30" s="133"/>
    </row>
    <row r="31" spans="2:32" ht="10.5" customHeight="1" x14ac:dyDescent="0.35">
      <c r="B31" s="35" t="s">
        <v>859</v>
      </c>
      <c r="C31" s="64" t="str">
        <f>VLOOKUP(121,T!A2:'T'!K2000,Order!B31+1)</f>
        <v>Supercritical: Capillary pressure drop in the DX-Evaporator</v>
      </c>
      <c r="D31" s="37"/>
      <c r="E31" s="37"/>
      <c r="F31" s="37"/>
      <c r="G31" s="74">
        <v>2</v>
      </c>
      <c r="H31" s="38">
        <f>ROUND((Order!AL31*Order!AO31+Order!AM31*Order!AP31+Order!AN31*Order!AQ31)*IF(G31&lt;=1,1,IF(G31=2,2,"")),0)</f>
        <v>0</v>
      </c>
      <c r="K31" s="63" t="b">
        <f t="shared" si="7"/>
        <v>0</v>
      </c>
      <c r="L31" s="74">
        <v>2</v>
      </c>
      <c r="N31" s="79"/>
      <c r="O31" s="103"/>
      <c r="P31" s="103"/>
      <c r="Q31" s="13"/>
      <c r="R31" s="21"/>
      <c r="T31" s="20"/>
      <c r="U31" s="13"/>
      <c r="V31" s="13"/>
      <c r="W31" s="13"/>
      <c r="X31" s="13"/>
      <c r="Y31" s="132"/>
      <c r="Z31" s="132"/>
      <c r="AA31" s="132"/>
      <c r="AB31" s="132"/>
      <c r="AC31" s="132"/>
      <c r="AD31" s="132"/>
      <c r="AE31" s="132"/>
      <c r="AF31" s="133"/>
    </row>
    <row r="32" spans="2:32" ht="10.5" customHeight="1" x14ac:dyDescent="0.35">
      <c r="B32" s="12" t="s">
        <v>776</v>
      </c>
      <c r="C32" s="13" t="str">
        <f>VLOOKUP(212,T!A2:'T'!K2000,Order!B31+1)</f>
        <v>Fin coil gas heater with liquid agents</v>
      </c>
      <c r="D32" s="33"/>
      <c r="E32" s="33"/>
      <c r="F32" s="33"/>
      <c r="G32" s="26">
        <v>2</v>
      </c>
      <c r="H32" s="17">
        <f>ROUND((Order!AL32*Order!AO32+Order!AM32*Order!AP32+Order!AN32*Order!AQ32)*IF(G32&lt;=1,1,IF(G32=2,2,"")),0)</f>
        <v>0</v>
      </c>
      <c r="K32" s="24" t="b">
        <f t="shared" si="7"/>
        <v>0</v>
      </c>
      <c r="L32" s="40">
        <v>2</v>
      </c>
      <c r="N32" s="20"/>
      <c r="O32" s="13"/>
      <c r="P32" s="13"/>
      <c r="Q32" s="13"/>
      <c r="R32" s="21"/>
      <c r="T32" s="20"/>
      <c r="U32" s="13"/>
      <c r="V32" s="13"/>
      <c r="W32" s="13"/>
      <c r="X32" s="13"/>
      <c r="Y32" s="132"/>
      <c r="Z32" s="132"/>
      <c r="AA32" s="132"/>
      <c r="AB32" s="132"/>
      <c r="AC32" s="132"/>
      <c r="AD32" s="132"/>
      <c r="AE32" s="132"/>
      <c r="AF32" s="133"/>
    </row>
    <row r="33" spans="2:32" ht="10.5" customHeight="1" x14ac:dyDescent="0.35">
      <c r="B33" s="12"/>
      <c r="C33" s="13" t="str">
        <f>VLOOKUP(209,T!A2:'T'!K2000,Order!B31+1)</f>
        <v>Fin coil gas cooler with liquid agents - Electric defroster</v>
      </c>
      <c r="D33" s="33"/>
      <c r="E33" s="33"/>
      <c r="F33" s="33"/>
      <c r="G33" s="26">
        <v>2</v>
      </c>
      <c r="H33" s="17">
        <f>ROUND((Order!AL33*Order!AO33+Order!AM33*Order!AP33+Order!AN33*Order!AQ33)*IF(G33&lt;=1,1,IF(G33=2,2,"")),0)</f>
        <v>0</v>
      </c>
      <c r="K33" s="24" t="b">
        <f t="shared" si="7"/>
        <v>0</v>
      </c>
      <c r="L33" s="26">
        <v>2</v>
      </c>
      <c r="N33" s="20"/>
      <c r="O33" s="13"/>
      <c r="P33" s="13"/>
      <c r="Q33" s="13"/>
      <c r="R33" s="21"/>
      <c r="T33" s="20"/>
      <c r="U33" s="13"/>
      <c r="V33" s="13"/>
      <c r="W33" s="13"/>
      <c r="X33" s="13"/>
      <c r="Y33" s="132"/>
      <c r="Z33" s="132"/>
      <c r="AA33" s="132"/>
      <c r="AB33" s="132"/>
      <c r="AC33" s="132"/>
      <c r="AD33" s="132"/>
      <c r="AE33" s="132"/>
      <c r="AF33" s="133"/>
    </row>
    <row r="34" spans="2:32" ht="10.5" customHeight="1" x14ac:dyDescent="0.35">
      <c r="B34" s="12"/>
      <c r="C34" s="13" t="str">
        <f>VLOOKUP(210,T!A2:'T'!K2000,Order!B31+1)</f>
        <v>Fin coil gas DX-Evaporator with refrigerants - Electric defroster</v>
      </c>
      <c r="D34" s="33"/>
      <c r="E34" s="33"/>
      <c r="F34" s="33"/>
      <c r="G34" s="26">
        <v>2</v>
      </c>
      <c r="H34" s="17">
        <f>ROUND((Order!AL34*Order!AO34+Order!AM34*Order!AP34+Order!AN34*Order!AQ34)*IF(G34&lt;=1,1,IF(G34=2,2,"")),0)</f>
        <v>0</v>
      </c>
      <c r="K34" s="24" t="b">
        <f t="shared" si="7"/>
        <v>0</v>
      </c>
      <c r="L34" s="26">
        <v>2</v>
      </c>
      <c r="N34" s="20"/>
      <c r="O34" s="13"/>
      <c r="P34" s="13"/>
      <c r="Q34" s="13"/>
      <c r="R34" s="21"/>
      <c r="T34" s="20"/>
      <c r="U34" s="13"/>
      <c r="V34" s="13"/>
      <c r="W34" s="13"/>
      <c r="X34" s="13"/>
      <c r="Y34" s="132"/>
      <c r="Z34" s="132"/>
      <c r="AA34" s="132"/>
      <c r="AB34" s="132"/>
      <c r="AC34" s="132"/>
      <c r="AD34" s="132"/>
      <c r="AE34" s="132"/>
      <c r="AF34" s="133"/>
    </row>
    <row r="35" spans="2:32" ht="10.5" customHeight="1" x14ac:dyDescent="0.35">
      <c r="B35" s="12"/>
      <c r="C35" s="13" t="str">
        <f>VLOOKUP(211,T!A2:'T'!K2000,Order!B31+1)</f>
        <v>Fin coil gas RC-Evaporator with refrigerants - Electric defroster</v>
      </c>
      <c r="D35" s="33"/>
      <c r="E35" s="33"/>
      <c r="F35" s="33"/>
      <c r="G35" s="26">
        <v>2</v>
      </c>
      <c r="H35" s="17">
        <f>ROUND((Order!AL35*Order!AO35+Order!AM35*Order!AP35+Order!AN35*Order!AQ35)*IF(G35&lt;=1,1,IF(G35=2,2,"")),0)</f>
        <v>0</v>
      </c>
      <c r="K35" s="24" t="b">
        <f t="shared" si="7"/>
        <v>0</v>
      </c>
      <c r="L35" s="26">
        <v>2</v>
      </c>
      <c r="N35" s="20"/>
      <c r="O35" s="13"/>
      <c r="P35" s="13"/>
      <c r="Q35" s="13"/>
      <c r="R35" s="21"/>
      <c r="T35" s="20"/>
      <c r="U35" s="13"/>
      <c r="V35" s="13"/>
      <c r="W35" s="13"/>
      <c r="X35" s="13"/>
      <c r="Y35" s="132"/>
      <c r="Z35" s="132"/>
      <c r="AA35" s="132"/>
      <c r="AB35" s="132"/>
      <c r="AC35" s="132"/>
      <c r="AD35" s="132"/>
      <c r="AE35" s="132"/>
      <c r="AF35" s="133"/>
    </row>
    <row r="36" spans="2:32" ht="10.5" customHeight="1" x14ac:dyDescent="0.35">
      <c r="B36" s="43"/>
      <c r="C36" s="16" t="str">
        <f>VLOOKUP(180,T!A2:'T'!K2000,Order!B31+1)</f>
        <v>CCSU, Harmful vapor recovery with fin coil heat exchangers</v>
      </c>
      <c r="D36" s="34"/>
      <c r="E36" s="34"/>
      <c r="F36" s="34"/>
      <c r="G36" s="41">
        <v>2</v>
      </c>
      <c r="H36" s="19">
        <f>ROUND((Order!AL36*Order!AO36+Order!AM36*Order!AP36+Order!AN36*Order!AQ36)*IF(G36&lt;=1,1,IF(G36=2,2,"")),0)</f>
        <v>0</v>
      </c>
      <c r="K36" s="25" t="b">
        <f t="shared" si="7"/>
        <v>0</v>
      </c>
      <c r="L36" s="41">
        <v>2</v>
      </c>
      <c r="N36" s="79"/>
      <c r="O36" s="13"/>
      <c r="P36" s="103"/>
      <c r="Q36" s="13"/>
      <c r="R36" s="21"/>
      <c r="T36" s="20"/>
      <c r="U36" s="13"/>
      <c r="V36" s="13"/>
      <c r="W36" s="13"/>
      <c r="X36" s="13"/>
      <c r="Y36" s="132"/>
      <c r="Z36" s="132"/>
      <c r="AA36" s="132"/>
      <c r="AB36" s="132"/>
      <c r="AC36" s="132"/>
      <c r="AD36" s="132"/>
      <c r="AE36" s="132"/>
      <c r="AF36" s="133"/>
    </row>
    <row r="37" spans="2:32" ht="10.5" customHeight="1" x14ac:dyDescent="0.35">
      <c r="B37" s="66" t="s">
        <v>5</v>
      </c>
      <c r="C37" s="15" t="str">
        <f>VLOOKUP(87,T!A2:'T'!K2000,Order!B31+1)</f>
        <v>CCSB Split Fin coil HE - Function on the right side</v>
      </c>
      <c r="D37" s="67"/>
      <c r="E37" s="67"/>
      <c r="F37" s="67"/>
      <c r="G37" s="40">
        <v>2</v>
      </c>
      <c r="H37" s="18">
        <f>ROUND((Order!AL37*Order!AO37+Order!AM37*Order!AP37+Order!AN37*Order!AQ37)*IF(G37&lt;=1,1,IF(G37=2,2,"")),0)</f>
        <v>0</v>
      </c>
      <c r="K37" s="23" t="b">
        <f t="shared" si="7"/>
        <v>0</v>
      </c>
      <c r="L37" s="40">
        <v>2</v>
      </c>
      <c r="N37" s="14" t="s">
        <v>193</v>
      </c>
      <c r="O37" s="13"/>
      <c r="P37" s="13"/>
      <c r="Q37" s="13"/>
      <c r="R37" s="21"/>
      <c r="T37" s="20"/>
      <c r="U37" s="13"/>
      <c r="V37" s="13"/>
      <c r="W37" s="13"/>
      <c r="X37" s="13"/>
      <c r="Y37" s="132"/>
      <c r="Z37" s="132"/>
      <c r="AA37" s="132"/>
      <c r="AB37" s="132"/>
      <c r="AC37" s="132"/>
      <c r="AD37" s="132"/>
      <c r="AE37" s="132"/>
      <c r="AF37" s="133"/>
    </row>
    <row r="38" spans="2:32" ht="10.5" customHeight="1" x14ac:dyDescent="0.35">
      <c r="B38" s="12"/>
      <c r="C38" s="13" t="str">
        <f>VLOOKUP(88,T!A2:'T'!K2000,Order!B31+1)</f>
        <v>CCSD Split Fin coil HE - Function on the right side</v>
      </c>
      <c r="D38" s="33"/>
      <c r="E38" s="33"/>
      <c r="F38" s="33"/>
      <c r="G38" s="26">
        <v>2</v>
      </c>
      <c r="H38" s="17">
        <f>ROUND((Order!AL38*Order!AO38+Order!AM38*Order!AP38+Order!AN38*Order!AQ38)*IF(G38&lt;=1,1,IF(G38=2,2,"")),0)</f>
        <v>0</v>
      </c>
      <c r="K38" s="24" t="b">
        <f t="shared" si="7"/>
        <v>0</v>
      </c>
      <c r="L38" s="26">
        <v>2</v>
      </c>
      <c r="N38" s="20"/>
      <c r="O38" s="13"/>
      <c r="P38" s="13"/>
      <c r="Q38" s="13"/>
      <c r="R38" s="21"/>
      <c r="T38" s="20"/>
      <c r="U38" s="13"/>
      <c r="V38" s="13"/>
      <c r="W38" s="13"/>
      <c r="X38" s="13"/>
      <c r="Y38" s="132"/>
      <c r="Z38" s="132"/>
      <c r="AA38" s="132"/>
      <c r="AB38" s="132"/>
      <c r="AC38" s="132"/>
      <c r="AD38" s="132"/>
      <c r="AE38" s="132"/>
      <c r="AF38" s="133"/>
    </row>
    <row r="39" spans="2:32" ht="10.5" customHeight="1" x14ac:dyDescent="0.35">
      <c r="B39" s="12"/>
      <c r="C39" s="13" t="str">
        <f>VLOOKUP(90,T!A2:'T'!K2000,Order!B31+1)</f>
        <v>CCSF Split Fin coil HE - Function on the right side</v>
      </c>
      <c r="D39" s="33"/>
      <c r="E39" s="33"/>
      <c r="F39" s="33"/>
      <c r="G39" s="26">
        <v>2</v>
      </c>
      <c r="H39" s="17">
        <f>ROUND((Order!AL39*Order!AO39+Order!AM39*Order!AP39+Order!AN39*Order!AQ39)*IF(G39&lt;=1,1,IF(G39=2,2,"")),0)</f>
        <v>0</v>
      </c>
      <c r="K39" s="24" t="b">
        <f t="shared" si="7"/>
        <v>0</v>
      </c>
      <c r="L39" s="26">
        <v>2</v>
      </c>
      <c r="N39" s="20"/>
      <c r="O39" s="103"/>
      <c r="P39" s="103"/>
      <c r="Q39" s="13"/>
      <c r="R39" s="104"/>
      <c r="T39" s="20"/>
      <c r="U39" s="13"/>
      <c r="V39" s="13"/>
      <c r="W39" s="13"/>
      <c r="X39" s="13"/>
      <c r="Y39" s="132"/>
      <c r="Z39" s="132"/>
      <c r="AA39" s="132"/>
      <c r="AB39" s="132"/>
      <c r="AC39" s="132"/>
      <c r="AD39" s="132"/>
      <c r="AE39" s="132"/>
      <c r="AF39" s="133"/>
    </row>
    <row r="40" spans="2:32" ht="10.5" customHeight="1" x14ac:dyDescent="0.35">
      <c r="B40" s="12"/>
      <c r="C40" s="13" t="str">
        <f>VLOOKUP(197,T!A2:'T'!K2000,Order!B31+1)</f>
        <v>CCSG Split Fin coil HE - Function on the right side</v>
      </c>
      <c r="D40" s="33"/>
      <c r="E40" s="33"/>
      <c r="F40" s="33"/>
      <c r="G40" s="26">
        <v>2</v>
      </c>
      <c r="H40" s="17">
        <f>ROUND((Order!AL40*Order!AO40+Order!AM40*Order!AP40+Order!AN40*Order!AQ40)*IF(G40&lt;=1,1,IF(G40=2,2,"")),0)</f>
        <v>0</v>
      </c>
      <c r="K40" s="24" t="b">
        <f t="shared" ref="K40" si="8">IF(AND(D40="",E40="",F40=""),FALSE,TRUE)</f>
        <v>0</v>
      </c>
      <c r="L40" s="26">
        <v>2</v>
      </c>
      <c r="N40" s="79"/>
      <c r="O40" s="103"/>
      <c r="P40" s="103"/>
      <c r="Q40" s="13"/>
      <c r="R40" s="104"/>
      <c r="T40" s="20"/>
      <c r="U40" s="13"/>
      <c r="V40" s="13"/>
      <c r="W40" s="13"/>
      <c r="X40" s="13"/>
      <c r="Y40" s="132"/>
      <c r="Z40" s="132"/>
      <c r="AA40" s="132"/>
      <c r="AB40" s="132"/>
      <c r="AC40" s="132"/>
      <c r="AD40" s="132"/>
      <c r="AE40" s="132"/>
      <c r="AF40" s="133"/>
    </row>
    <row r="41" spans="2:32" ht="10.5" customHeight="1" x14ac:dyDescent="0.35">
      <c r="B41" s="12"/>
      <c r="C41" s="13" t="str">
        <f>VLOOKUP(174,T!A2:'T'!K2000,Order!B31+1)</f>
        <v>CCSH Split Fin coil HE - Function on the right side</v>
      </c>
      <c r="D41" s="33"/>
      <c r="E41" s="33"/>
      <c r="F41" s="33"/>
      <c r="G41" s="26">
        <v>2</v>
      </c>
      <c r="H41" s="17">
        <f>ROUND((Order!AL41*Order!AO41+Order!AM41*Order!AP41+Order!AN41*Order!AQ41)*IF(G41&lt;=1,1,IF(G41=2,2,"")),0)</f>
        <v>0</v>
      </c>
      <c r="K41" s="24" t="b">
        <f t="shared" ref="K41:K47" si="9">IF(AND(D41="",E41="",F41=""),FALSE,TRUE)</f>
        <v>0</v>
      </c>
      <c r="L41" s="26">
        <v>2</v>
      </c>
      <c r="N41" s="79"/>
      <c r="O41" s="103"/>
      <c r="P41" s="103"/>
      <c r="Q41" s="13"/>
      <c r="R41" s="104"/>
      <c r="T41" s="20"/>
      <c r="U41" s="13"/>
      <c r="V41" s="13"/>
      <c r="W41" s="13"/>
      <c r="X41" s="13"/>
      <c r="Y41" s="132"/>
      <c r="Z41" s="132"/>
      <c r="AA41" s="132"/>
      <c r="AB41" s="132"/>
      <c r="AC41" s="132"/>
      <c r="AD41" s="132"/>
      <c r="AE41" s="132"/>
      <c r="AF41" s="133"/>
    </row>
    <row r="42" spans="2:32" ht="10.5" customHeight="1" x14ac:dyDescent="0.35">
      <c r="B42" s="12"/>
      <c r="C42" s="13" t="str">
        <f>VLOOKUP(92,T!A2:'T'!K2000,Order!B31+1)</f>
        <v>CCSJ Split Fin coil HE - Function on the right side</v>
      </c>
      <c r="D42" s="33"/>
      <c r="E42" s="33"/>
      <c r="F42" s="33"/>
      <c r="G42" s="26">
        <v>2</v>
      </c>
      <c r="H42" s="17">
        <f>ROUND((Order!AL42*Order!AO42+Order!AM42*Order!AP42+Order!AN42*Order!AQ42)*IF(G42&lt;=1,1,IF(G42=2,2,"")),0)</f>
        <v>0</v>
      </c>
      <c r="K42" s="24" t="b">
        <f t="shared" si="9"/>
        <v>0</v>
      </c>
      <c r="L42" s="26">
        <v>2</v>
      </c>
      <c r="N42" s="79"/>
      <c r="O42" s="103"/>
      <c r="P42" s="103"/>
      <c r="Q42" s="13"/>
      <c r="R42" s="104"/>
      <c r="T42" s="20"/>
      <c r="U42" s="13"/>
      <c r="V42" s="13"/>
      <c r="W42" s="13"/>
      <c r="X42" s="13"/>
      <c r="Y42" s="132"/>
      <c r="Z42" s="132"/>
      <c r="AA42" s="132"/>
      <c r="AB42" s="132"/>
      <c r="AC42" s="132"/>
      <c r="AD42" s="132"/>
      <c r="AE42" s="132"/>
      <c r="AF42" s="133"/>
    </row>
    <row r="43" spans="2:32" ht="10.5" customHeight="1" x14ac:dyDescent="0.35">
      <c r="B43" s="12"/>
      <c r="C43" s="21" t="str">
        <f>VLOOKUP(182,T!A2:'T'!K2000,Order!B31+1)</f>
        <v>CCSU Split fin coil HE - Function on the right side</v>
      </c>
      <c r="D43" s="33"/>
      <c r="E43" s="33"/>
      <c r="F43" s="33"/>
      <c r="G43" s="26">
        <v>2</v>
      </c>
      <c r="H43" s="17">
        <f>ROUND((Order!AL43*Order!AO43+Order!AM43*Order!AP43+Order!AN43*Order!AQ43)*IF(G43&lt;=1,1,IF(G43=2,2,"")),0)</f>
        <v>0</v>
      </c>
      <c r="K43" s="24" t="b">
        <f t="shared" si="9"/>
        <v>0</v>
      </c>
      <c r="L43" s="26">
        <v>2</v>
      </c>
      <c r="N43" s="79"/>
      <c r="O43" s="103"/>
      <c r="P43" s="103"/>
      <c r="Q43" s="13"/>
      <c r="R43" s="21"/>
      <c r="T43" s="20"/>
      <c r="U43" s="13"/>
      <c r="V43" s="13"/>
      <c r="W43" s="13"/>
      <c r="X43" s="13"/>
      <c r="Y43" s="13"/>
      <c r="Z43" s="13"/>
      <c r="AA43" s="13"/>
      <c r="AB43" s="13"/>
      <c r="AC43" s="13"/>
      <c r="AD43" s="13"/>
      <c r="AE43" s="13"/>
      <c r="AF43" s="21"/>
    </row>
    <row r="44" spans="2:32" ht="10.5" customHeight="1" x14ac:dyDescent="0.35">
      <c r="B44" s="12"/>
      <c r="C44" s="155" t="str">
        <f>VLOOKUP(93,T!A2:'T'!K2000,Order!B31+1)</f>
        <v>CCSK Split Fin coil HE - Function on the right side</v>
      </c>
      <c r="D44" s="156"/>
      <c r="E44" s="156"/>
      <c r="F44" s="156"/>
      <c r="G44" s="160">
        <v>2</v>
      </c>
      <c r="H44" s="69">
        <f>ROUND((Order!AL44*Order!AO44+Order!AM44*Order!AP44+Order!AN44*Order!AQ44)*IF(G44&lt;=1,1,IF(G44=2,2,"")),0)</f>
        <v>0</v>
      </c>
      <c r="K44" s="208" t="b">
        <f t="shared" si="9"/>
        <v>0</v>
      </c>
      <c r="L44" s="160">
        <v>2</v>
      </c>
      <c r="N44" s="79"/>
      <c r="O44" s="103"/>
      <c r="P44" s="103"/>
      <c r="Q44" s="13"/>
      <c r="R44" s="104"/>
      <c r="T44" s="20"/>
      <c r="U44" s="13"/>
      <c r="V44" s="13"/>
      <c r="W44" s="13"/>
      <c r="X44" s="13"/>
      <c r="Y44" s="13"/>
      <c r="Z44" s="13"/>
      <c r="AA44" s="13"/>
      <c r="AB44" s="13"/>
      <c r="AC44" s="13"/>
      <c r="AD44" s="13"/>
      <c r="AE44" s="13"/>
      <c r="AF44" s="21"/>
    </row>
    <row r="45" spans="2:32" ht="10.5" customHeight="1" x14ac:dyDescent="0.35">
      <c r="B45" s="12"/>
      <c r="C45" s="157" t="str">
        <f>VLOOKUP(94,T!A2:'T'!K2000,Order!B31+1)</f>
        <v>CCSM Split Fin coil HE - Function on the right side</v>
      </c>
      <c r="D45" s="158"/>
      <c r="E45" s="158"/>
      <c r="F45" s="158"/>
      <c r="G45" s="161">
        <v>2</v>
      </c>
      <c r="H45" s="159">
        <f>ROUND((Order!AL45*Order!AO45+Order!AM45*Order!AP45+Order!AN45*Order!AQ45)*IF(G45&lt;=1,1,IF(G45=2,2,"")),0)</f>
        <v>0</v>
      </c>
      <c r="K45" s="209" t="b">
        <f t="shared" si="9"/>
        <v>0</v>
      </c>
      <c r="L45" s="161">
        <v>2</v>
      </c>
      <c r="N45" s="79"/>
      <c r="O45" s="103"/>
      <c r="P45" s="103"/>
      <c r="Q45" s="13"/>
      <c r="R45" s="104"/>
      <c r="T45" s="20"/>
      <c r="U45" s="13"/>
      <c r="V45" s="13"/>
      <c r="W45" s="13"/>
      <c r="X45" s="13"/>
      <c r="Y45" s="13"/>
      <c r="Z45" s="13"/>
      <c r="AA45" s="13"/>
      <c r="AB45" s="13"/>
      <c r="AC45" s="13"/>
      <c r="AD45" s="13"/>
      <c r="AE45" s="13"/>
      <c r="AF45" s="21"/>
    </row>
    <row r="46" spans="2:32" ht="10.5" customHeight="1" x14ac:dyDescent="0.35">
      <c r="B46" s="12"/>
      <c r="C46" s="13" t="str">
        <f>VLOOKUP(89,T!A2:'T'!K2000,Order!B31+1)</f>
        <v>CCSE Split Fin coil HE - Function on the right side</v>
      </c>
      <c r="D46" s="33"/>
      <c r="E46" s="33"/>
      <c r="F46" s="33"/>
      <c r="G46" s="26">
        <v>2</v>
      </c>
      <c r="H46" s="17">
        <f>ROUND((Order!AL46*Order!AO46+Order!AM46*Order!AP46+Order!AN46*Order!AQ46)*IF(G46&lt;=1,1,IF(G46=2,2,"")),0)</f>
        <v>0</v>
      </c>
      <c r="K46" s="24" t="b">
        <f t="shared" si="9"/>
        <v>0</v>
      </c>
      <c r="L46" s="26">
        <v>2</v>
      </c>
      <c r="N46" s="14" t="s">
        <v>1049</v>
      </c>
      <c r="O46" s="103"/>
      <c r="P46" s="103"/>
      <c r="Q46" s="13"/>
      <c r="R46" s="104"/>
      <c r="T46" s="20"/>
      <c r="U46" s="13"/>
      <c r="V46" s="13"/>
      <c r="W46" s="13"/>
      <c r="X46" s="13"/>
      <c r="Y46" s="13"/>
      <c r="Z46" s="13"/>
      <c r="AA46" s="13"/>
      <c r="AB46" s="13"/>
      <c r="AC46" s="13"/>
      <c r="AD46" s="13"/>
      <c r="AE46" s="13"/>
      <c r="AF46" s="21"/>
    </row>
    <row r="47" spans="2:32" ht="10.5" customHeight="1" x14ac:dyDescent="0.35">
      <c r="B47" s="43"/>
      <c r="C47" s="22" t="str">
        <f>VLOOKUP(91,T!A2:'T'!K2000,Order!B31+1)</f>
        <v>CCSN Split Fin coil HE - Function on the right side</v>
      </c>
      <c r="D47" s="34"/>
      <c r="E47" s="34"/>
      <c r="F47" s="34"/>
      <c r="G47" s="41">
        <v>2</v>
      </c>
      <c r="H47" s="17">
        <f>ROUND((Order!AL47*Order!AO47+Order!AM47*Order!AP47+Order!AN47*Order!AQ47)*IF(G47&lt;=1,1,IF(G47=2,2,"")),0)</f>
        <v>0</v>
      </c>
      <c r="K47" s="25" t="b">
        <f t="shared" si="9"/>
        <v>0</v>
      </c>
      <c r="L47" s="41">
        <v>2</v>
      </c>
      <c r="N47" s="79"/>
      <c r="O47" s="103"/>
      <c r="P47" s="103"/>
      <c r="Q47" s="13"/>
      <c r="R47" s="104"/>
      <c r="T47" s="20"/>
      <c r="U47" s="13"/>
      <c r="V47" s="13"/>
      <c r="W47" s="13"/>
      <c r="X47" s="13"/>
      <c r="Y47" s="13"/>
      <c r="Z47" s="13"/>
      <c r="AA47" s="13"/>
      <c r="AB47" s="13"/>
      <c r="AC47" s="13"/>
      <c r="AD47" s="13"/>
      <c r="AE47" s="13"/>
      <c r="AF47" s="21"/>
    </row>
    <row r="48" spans="2:32" ht="10.5" customHeight="1" x14ac:dyDescent="0.35">
      <c r="N48" s="79"/>
      <c r="O48" s="103"/>
      <c r="P48" s="103"/>
      <c r="Q48" s="13"/>
      <c r="R48" s="104"/>
      <c r="T48" s="20"/>
      <c r="U48" s="13"/>
      <c r="V48" s="13"/>
      <c r="W48" s="13"/>
      <c r="X48" s="13"/>
      <c r="Y48" s="13"/>
      <c r="Z48" s="13"/>
      <c r="AA48" s="13"/>
      <c r="AB48" s="13"/>
      <c r="AC48" s="13"/>
      <c r="AD48" s="13"/>
      <c r="AE48" s="13"/>
      <c r="AF48" s="21"/>
    </row>
    <row r="49" spans="2:32" ht="10.5" customHeight="1" x14ac:dyDescent="0.35">
      <c r="B49" s="316" t="str">
        <f>VLOOKUP(130,T!A2:'T'!K2000,Order!B31+1)</f>
        <v>Introduction to applications</v>
      </c>
      <c r="C49" s="318"/>
      <c r="D49" s="320" t="str">
        <f>VLOOKUP(132,T!A2:'T'!K2000,Order!B31+1)</f>
        <v>Days</v>
      </c>
      <c r="E49" s="40"/>
      <c r="F49" s="40"/>
      <c r="G49" s="40"/>
      <c r="H49" s="321" t="str">
        <f>VLOOKUP(Order!B36,Order!B33:'Order'!D35,2)</f>
        <v>CHF</v>
      </c>
      <c r="N49" s="79"/>
      <c r="O49" s="103"/>
      <c r="P49" s="103"/>
      <c r="Q49" s="13"/>
      <c r="R49" s="104"/>
      <c r="T49" s="20"/>
      <c r="U49" s="13"/>
      <c r="V49" s="13"/>
      <c r="W49" s="13"/>
      <c r="X49" s="13"/>
      <c r="Y49" s="132"/>
      <c r="Z49" s="132"/>
      <c r="AA49" s="132"/>
      <c r="AB49" s="132"/>
      <c r="AC49" s="132"/>
      <c r="AD49" s="132"/>
      <c r="AE49" s="132"/>
      <c r="AF49" s="133"/>
    </row>
    <row r="50" spans="2:32" ht="10.5" customHeight="1" x14ac:dyDescent="0.35">
      <c r="B50" s="319"/>
      <c r="C50" s="304"/>
      <c r="D50" s="296"/>
      <c r="E50" s="41"/>
      <c r="F50" s="41"/>
      <c r="G50" s="41"/>
      <c r="H50" s="322"/>
      <c r="N50" s="79"/>
      <c r="O50" s="103"/>
      <c r="P50" s="103"/>
      <c r="Q50" s="13"/>
      <c r="R50" s="104"/>
      <c r="T50" s="20"/>
      <c r="U50" s="13"/>
      <c r="V50" s="13"/>
      <c r="W50" s="13"/>
      <c r="X50" s="13"/>
      <c r="Y50" s="132"/>
      <c r="Z50" s="132"/>
      <c r="AA50" s="132"/>
      <c r="AB50" s="132"/>
      <c r="AC50" s="132"/>
      <c r="AD50" s="132"/>
      <c r="AE50" s="132"/>
      <c r="AF50" s="133"/>
    </row>
    <row r="51" spans="2:32" ht="10.5" customHeight="1" x14ac:dyDescent="0.35">
      <c r="B51" s="35" t="s">
        <v>6</v>
      </c>
      <c r="C51" s="36" t="str">
        <f>VLOOKUP(131,T!A2:'T'!K2000,Order!B31+1)</f>
        <v>Training in Bern - 6 hours daily</v>
      </c>
      <c r="D51" s="37"/>
      <c r="E51" s="74"/>
      <c r="F51" s="74"/>
      <c r="G51" s="74"/>
      <c r="H51" s="38">
        <f>ROUND(D51*Order!AL51,0)</f>
        <v>0</v>
      </c>
      <c r="N51" s="79"/>
      <c r="O51" s="103"/>
      <c r="P51" s="103"/>
      <c r="Q51" s="13"/>
      <c r="R51" s="104"/>
      <c r="T51" s="20"/>
      <c r="U51" s="13"/>
      <c r="V51" s="13"/>
      <c r="W51" s="13"/>
      <c r="X51" s="13"/>
      <c r="Y51" s="132"/>
      <c r="Z51" s="132"/>
      <c r="AA51" s="132"/>
      <c r="AB51" s="132"/>
      <c r="AC51" s="132"/>
      <c r="AD51" s="132"/>
      <c r="AE51" s="132"/>
      <c r="AF51" s="133"/>
    </row>
    <row r="52" spans="2:32" ht="10.5" customHeight="1" x14ac:dyDescent="0.35">
      <c r="N52" s="79"/>
      <c r="O52" s="103"/>
      <c r="P52" s="103"/>
      <c r="Q52" s="13"/>
      <c r="R52" s="104"/>
      <c r="T52" s="20"/>
      <c r="U52" s="13"/>
      <c r="V52" s="13"/>
      <c r="W52" s="13"/>
      <c r="X52" s="13"/>
      <c r="Y52" s="132"/>
      <c r="Z52" s="132"/>
      <c r="AA52" s="132"/>
      <c r="AB52" s="132"/>
      <c r="AC52" s="132"/>
      <c r="AD52" s="132"/>
      <c r="AE52" s="132"/>
      <c r="AF52" s="133"/>
    </row>
    <row r="53" spans="2:32" ht="10.5" customHeight="1" x14ac:dyDescent="0.35">
      <c r="D53" s="65" t="str">
        <f>VLOOKUP(133,T!A2:'T'!K2000,Order!B31+1)</f>
        <v>Total net, prepayment:</v>
      </c>
      <c r="E53" s="39"/>
      <c r="F53" s="39"/>
      <c r="G53" s="30" t="str">
        <f>VLOOKUP(Order!B36,Order!B33:'Order'!D35,2)</f>
        <v>CHF</v>
      </c>
      <c r="H53" s="226">
        <f>SUM(H4:H51)</f>
        <v>0</v>
      </c>
      <c r="N53" s="79"/>
      <c r="O53" s="103"/>
      <c r="P53" s="103"/>
      <c r="Q53" s="13"/>
      <c r="R53" s="104"/>
      <c r="T53" s="20"/>
      <c r="U53" s="13"/>
      <c r="V53" s="13"/>
      <c r="W53" s="13"/>
      <c r="X53" s="13"/>
      <c r="Y53" s="132"/>
      <c r="Z53" s="132"/>
      <c r="AA53" s="132"/>
      <c r="AB53" s="132"/>
      <c r="AC53" s="132"/>
      <c r="AD53" s="132"/>
      <c r="AE53" s="132"/>
      <c r="AF53" s="133"/>
    </row>
    <row r="54" spans="2:32" ht="10.5" customHeight="1" x14ac:dyDescent="0.35">
      <c r="N54" s="79"/>
      <c r="O54" s="103"/>
      <c r="P54" s="103"/>
      <c r="Q54" s="13"/>
      <c r="R54" s="104"/>
      <c r="T54" s="20"/>
      <c r="U54" s="13"/>
      <c r="V54" s="13"/>
      <c r="W54" s="13"/>
      <c r="X54" s="13"/>
      <c r="Y54" s="132"/>
      <c r="Z54" s="132"/>
      <c r="AA54" s="132"/>
      <c r="AB54" s="132"/>
      <c r="AC54" s="132"/>
      <c r="AD54" s="132"/>
      <c r="AE54" s="132"/>
      <c r="AF54" s="133"/>
    </row>
    <row r="55" spans="2:32" ht="10.5" customHeight="1" x14ac:dyDescent="0.35">
      <c r="N55" s="14" t="s">
        <v>864</v>
      </c>
      <c r="O55" s="103"/>
      <c r="P55" s="103"/>
      <c r="Q55" s="13"/>
      <c r="R55" s="104"/>
      <c r="T55" s="20"/>
      <c r="U55" s="13"/>
      <c r="V55" s="13"/>
      <c r="W55" s="13"/>
      <c r="X55" s="13"/>
      <c r="Y55" s="132"/>
      <c r="Z55" s="132"/>
      <c r="AA55" s="132"/>
      <c r="AB55" s="132"/>
      <c r="AC55" s="132"/>
      <c r="AD55" s="132"/>
      <c r="AE55" s="132"/>
      <c r="AF55" s="133"/>
    </row>
    <row r="56" spans="2:32" ht="10.5" customHeight="1" x14ac:dyDescent="0.35">
      <c r="C56" s="42"/>
      <c r="D56" s="42"/>
      <c r="E56" s="42"/>
      <c r="F56" s="42"/>
      <c r="G56" s="42"/>
      <c r="H56" s="42"/>
      <c r="N56" s="79"/>
      <c r="O56" s="103"/>
      <c r="P56" s="103"/>
      <c r="Q56" s="13"/>
      <c r="R56" s="104"/>
      <c r="T56" s="20"/>
      <c r="U56" s="13"/>
      <c r="V56" s="13"/>
      <c r="W56" s="13"/>
      <c r="X56" s="13"/>
      <c r="Y56" s="132"/>
      <c r="Z56" s="132"/>
      <c r="AA56" s="132"/>
      <c r="AB56" s="132"/>
      <c r="AC56" s="132"/>
      <c r="AD56" s="132"/>
      <c r="AE56" s="132"/>
      <c r="AF56" s="133"/>
    </row>
    <row r="57" spans="2:32" ht="10.5" customHeight="1" x14ac:dyDescent="0.35">
      <c r="C57" s="42"/>
      <c r="D57" s="42"/>
      <c r="E57" s="42"/>
      <c r="F57" s="42"/>
      <c r="G57" s="42"/>
      <c r="H57" s="42"/>
      <c r="N57" s="79"/>
      <c r="O57" s="103"/>
      <c r="P57" s="103"/>
      <c r="Q57" s="13"/>
      <c r="R57" s="104"/>
      <c r="T57" s="20"/>
      <c r="U57" s="13"/>
      <c r="V57" s="13"/>
      <c r="W57" s="13"/>
      <c r="X57" s="13"/>
      <c r="Y57" s="132"/>
      <c r="Z57" s="132"/>
      <c r="AA57" s="132"/>
      <c r="AB57" s="132"/>
      <c r="AC57" s="132"/>
      <c r="AD57" s="132"/>
      <c r="AE57" s="132"/>
      <c r="AF57" s="133"/>
    </row>
    <row r="58" spans="2:32" ht="10.5" customHeight="1" x14ac:dyDescent="0.35">
      <c r="C58" s="42"/>
      <c r="D58" s="42"/>
      <c r="E58" s="42"/>
      <c r="F58" s="42"/>
      <c r="G58" s="42"/>
      <c r="H58" s="42"/>
      <c r="N58" s="79"/>
      <c r="O58" s="103"/>
      <c r="P58" s="103"/>
      <c r="Q58" s="13"/>
      <c r="R58" s="104"/>
      <c r="T58" s="20"/>
      <c r="U58" s="13"/>
      <c r="V58" s="13"/>
      <c r="W58" s="13"/>
      <c r="X58" s="13"/>
      <c r="Y58" s="132"/>
      <c r="Z58" s="132"/>
      <c r="AA58" s="132"/>
      <c r="AB58" s="132"/>
      <c r="AC58" s="132"/>
      <c r="AD58" s="132"/>
      <c r="AE58" s="132"/>
      <c r="AF58" s="133"/>
    </row>
    <row r="59" spans="2:32" ht="10.5" customHeight="1" x14ac:dyDescent="0.35">
      <c r="C59" s="42"/>
      <c r="D59" s="42"/>
      <c r="E59" s="42"/>
      <c r="F59" s="42"/>
      <c r="G59" s="42"/>
      <c r="H59" s="42"/>
      <c r="N59" s="79"/>
      <c r="O59" s="103"/>
      <c r="P59" s="103"/>
      <c r="Q59" s="13"/>
      <c r="R59" s="104"/>
      <c r="T59" s="20"/>
      <c r="U59" s="13"/>
      <c r="V59" s="13"/>
      <c r="W59" s="13"/>
      <c r="X59" s="13"/>
      <c r="Y59" s="132"/>
      <c r="Z59" s="132"/>
      <c r="AA59" s="132"/>
      <c r="AB59" s="132"/>
      <c r="AC59" s="132"/>
      <c r="AD59" s="132"/>
      <c r="AE59" s="132"/>
      <c r="AF59" s="133"/>
    </row>
    <row r="60" spans="2:32" ht="10.5" customHeight="1" x14ac:dyDescent="0.35">
      <c r="C60" s="42"/>
      <c r="D60" s="42"/>
      <c r="E60" s="42"/>
      <c r="F60" s="42"/>
      <c r="G60" s="42"/>
      <c r="H60" s="42"/>
      <c r="N60" s="79"/>
      <c r="O60" s="103"/>
      <c r="P60" s="103"/>
      <c r="Q60" s="13"/>
      <c r="R60" s="104"/>
      <c r="T60" s="20"/>
      <c r="U60" s="13"/>
      <c r="V60" s="13"/>
      <c r="W60" s="13"/>
      <c r="X60" s="13"/>
      <c r="Y60" s="132"/>
      <c r="Z60" s="132"/>
      <c r="AA60" s="132"/>
      <c r="AB60" s="132"/>
      <c r="AC60" s="132"/>
      <c r="AD60" s="132"/>
      <c r="AE60" s="132"/>
      <c r="AF60" s="133"/>
    </row>
    <row r="61" spans="2:32" ht="10.5" customHeight="1" x14ac:dyDescent="0.35">
      <c r="C61" s="42"/>
      <c r="D61" s="42"/>
      <c r="E61" s="42"/>
      <c r="F61" s="42"/>
      <c r="G61" s="42"/>
      <c r="H61" s="42"/>
      <c r="N61" s="79"/>
      <c r="O61" s="103"/>
      <c r="P61" s="103"/>
      <c r="Q61" s="13"/>
      <c r="R61" s="104"/>
      <c r="T61" s="20"/>
      <c r="U61" s="13"/>
      <c r="V61" s="13"/>
      <c r="W61" s="13"/>
      <c r="X61" s="13"/>
      <c r="Y61" s="132"/>
      <c r="Z61" s="132"/>
      <c r="AA61" s="132"/>
      <c r="AB61" s="132"/>
      <c r="AC61" s="132"/>
      <c r="AD61" s="132"/>
      <c r="AE61" s="132"/>
      <c r="AF61" s="133"/>
    </row>
    <row r="62" spans="2:32" ht="10.5" customHeight="1" x14ac:dyDescent="0.35">
      <c r="N62" s="79"/>
      <c r="O62" s="103"/>
      <c r="P62" s="103"/>
      <c r="Q62" s="13"/>
      <c r="R62" s="104"/>
      <c r="T62" s="20"/>
      <c r="U62" s="13"/>
      <c r="V62" s="13"/>
      <c r="W62" s="13"/>
      <c r="X62" s="13"/>
      <c r="Y62" s="132"/>
      <c r="Z62" s="132"/>
      <c r="AA62" s="132"/>
      <c r="AB62" s="132"/>
      <c r="AC62" s="132"/>
      <c r="AD62" s="132"/>
      <c r="AE62" s="132"/>
      <c r="AF62" s="133"/>
    </row>
    <row r="63" spans="2:32" ht="10.5" customHeight="1" x14ac:dyDescent="0.35">
      <c r="H63" s="4" t="s">
        <v>1048</v>
      </c>
      <c r="N63" s="79"/>
      <c r="O63" s="103"/>
      <c r="P63" s="103"/>
      <c r="Q63" s="13"/>
      <c r="R63" s="104"/>
      <c r="T63" s="20"/>
      <c r="U63" s="13"/>
      <c r="V63" s="13"/>
      <c r="W63" s="13"/>
      <c r="X63" s="13"/>
      <c r="Y63" s="132"/>
      <c r="Z63" s="132"/>
      <c r="AA63" s="132"/>
      <c r="AB63" s="132"/>
      <c r="AC63" s="132"/>
      <c r="AD63" s="132"/>
      <c r="AE63" s="132"/>
      <c r="AF63" s="133"/>
    </row>
    <row r="64" spans="2:32" ht="10.5" customHeight="1" x14ac:dyDescent="0.35">
      <c r="H64" s="4" t="s">
        <v>42</v>
      </c>
      <c r="N64" s="79"/>
      <c r="O64" s="13"/>
      <c r="P64" s="103"/>
      <c r="Q64" s="13"/>
      <c r="R64" s="21"/>
      <c r="T64" s="20"/>
      <c r="U64" s="13"/>
      <c r="V64" s="13"/>
      <c r="W64" s="13"/>
      <c r="X64" s="13"/>
      <c r="Y64" s="132"/>
      <c r="Z64" s="132"/>
      <c r="AA64" s="132"/>
      <c r="AB64" s="132"/>
      <c r="AC64" s="132"/>
      <c r="AD64" s="132"/>
      <c r="AE64" s="132"/>
      <c r="AF64" s="133"/>
    </row>
    <row r="65" spans="2:39" ht="10.5" customHeight="1" x14ac:dyDescent="0.35">
      <c r="H65" s="4" t="s">
        <v>48</v>
      </c>
      <c r="N65" s="14" t="s">
        <v>283</v>
      </c>
      <c r="O65" s="103"/>
      <c r="P65" s="103"/>
      <c r="Q65" s="13"/>
      <c r="R65" s="21"/>
      <c r="T65" s="20"/>
      <c r="U65" s="13"/>
      <c r="V65" s="13"/>
      <c r="W65" s="13"/>
      <c r="X65" s="13"/>
      <c r="Y65" s="132"/>
      <c r="Z65" s="132"/>
      <c r="AA65" s="132"/>
      <c r="AB65" s="132"/>
      <c r="AC65" s="132"/>
      <c r="AD65" s="132"/>
      <c r="AE65" s="132"/>
      <c r="AF65" s="133"/>
    </row>
    <row r="66" spans="2:39" ht="10.5" customHeight="1" x14ac:dyDescent="0.35">
      <c r="H66" s="11" t="s">
        <v>43</v>
      </c>
      <c r="N66" s="79"/>
      <c r="O66" s="103"/>
      <c r="P66" s="103"/>
      <c r="Q66" s="13"/>
      <c r="R66" s="21"/>
      <c r="T66" s="20"/>
      <c r="U66" s="13"/>
      <c r="V66" s="13"/>
      <c r="W66" s="13"/>
      <c r="X66" s="13"/>
      <c r="Y66" s="132"/>
      <c r="Z66" s="132"/>
      <c r="AA66" s="132"/>
      <c r="AB66" s="132"/>
      <c r="AC66" s="132"/>
      <c r="AD66" s="132"/>
      <c r="AE66" s="132"/>
      <c r="AF66" s="133"/>
    </row>
    <row r="67" spans="2:39" ht="10.5" customHeight="1" x14ac:dyDescent="0.35">
      <c r="B67" s="1"/>
      <c r="C67" s="1"/>
      <c r="H67" s="11" t="s">
        <v>44</v>
      </c>
      <c r="N67" s="79"/>
      <c r="O67" s="103"/>
      <c r="P67" s="103"/>
      <c r="Q67" s="13"/>
      <c r="R67" s="21"/>
      <c r="T67" s="20"/>
      <c r="U67" s="13"/>
      <c r="V67" s="13"/>
      <c r="W67" s="13"/>
      <c r="X67" s="13"/>
      <c r="Y67" s="132"/>
      <c r="Z67" s="132"/>
      <c r="AA67" s="132"/>
      <c r="AB67" s="132"/>
      <c r="AC67" s="132"/>
      <c r="AD67" s="132"/>
      <c r="AE67" s="132"/>
      <c r="AF67" s="133"/>
    </row>
    <row r="68" spans="2:39" ht="10.5" customHeight="1" x14ac:dyDescent="0.35">
      <c r="B68" s="1"/>
      <c r="C68" s="1"/>
      <c r="H68" s="11"/>
      <c r="N68" s="79"/>
      <c r="O68" s="103"/>
      <c r="P68" s="103"/>
      <c r="Q68" s="13"/>
      <c r="R68" s="21"/>
      <c r="T68" s="20"/>
      <c r="U68" s="13"/>
      <c r="V68" s="13"/>
      <c r="W68" s="13"/>
      <c r="X68" s="13"/>
      <c r="Y68" s="132"/>
      <c r="Z68" s="132"/>
      <c r="AA68" s="132"/>
      <c r="AB68" s="132"/>
      <c r="AC68" s="132"/>
      <c r="AD68" s="132"/>
      <c r="AE68" s="132"/>
      <c r="AF68" s="133"/>
    </row>
    <row r="69" spans="2:39" ht="10.5" customHeight="1" x14ac:dyDescent="0.35">
      <c r="B69" s="1"/>
      <c r="C69" s="1"/>
      <c r="H69" s="71" t="s">
        <v>45</v>
      </c>
      <c r="N69" s="79"/>
      <c r="O69" s="103"/>
      <c r="P69" s="103"/>
      <c r="Q69" s="13"/>
      <c r="R69" s="21"/>
      <c r="T69" s="20"/>
      <c r="U69" s="13"/>
      <c r="V69" s="13"/>
      <c r="W69" s="13"/>
      <c r="X69" s="13"/>
      <c r="Y69" s="132"/>
      <c r="Z69" s="132"/>
      <c r="AA69" s="132"/>
      <c r="AB69" s="132"/>
      <c r="AC69" s="132"/>
      <c r="AD69" s="132"/>
      <c r="AE69" s="132"/>
      <c r="AF69" s="133"/>
    </row>
    <row r="70" spans="2:39" ht="10.5" customHeight="1" x14ac:dyDescent="0.35">
      <c r="B70" s="1"/>
      <c r="C70" s="1"/>
      <c r="H70" s="71" t="s">
        <v>46</v>
      </c>
      <c r="N70" s="79"/>
      <c r="O70" s="13"/>
      <c r="P70" s="103"/>
      <c r="Q70" s="13"/>
      <c r="R70" s="21"/>
      <c r="T70" s="20"/>
      <c r="U70" s="13"/>
      <c r="V70" s="13"/>
      <c r="W70" s="13"/>
      <c r="X70" s="13"/>
      <c r="Y70" s="132"/>
      <c r="Z70" s="132"/>
      <c r="AA70" s="132"/>
      <c r="AB70" s="132"/>
      <c r="AC70" s="132"/>
      <c r="AD70" s="132"/>
      <c r="AE70" s="132"/>
      <c r="AF70" s="133"/>
    </row>
    <row r="71" spans="2:39" ht="10.5" customHeight="1" x14ac:dyDescent="0.35">
      <c r="B71" s="1"/>
      <c r="C71" s="1"/>
      <c r="H71" s="72" t="s">
        <v>47</v>
      </c>
      <c r="N71" s="14" t="s">
        <v>376</v>
      </c>
      <c r="O71" s="103"/>
      <c r="P71" s="103"/>
      <c r="Q71" s="13"/>
      <c r="R71" s="21"/>
      <c r="T71" s="20"/>
      <c r="U71" s="13"/>
      <c r="V71" s="13"/>
      <c r="W71" s="13"/>
      <c r="X71" s="13"/>
      <c r="Y71" s="132"/>
      <c r="Z71" s="132"/>
      <c r="AA71" s="132"/>
      <c r="AB71" s="132"/>
      <c r="AC71" s="132"/>
      <c r="AD71" s="132"/>
      <c r="AE71" s="132"/>
      <c r="AF71" s="133"/>
    </row>
    <row r="72" spans="2:39" ht="10.5" customHeight="1" x14ac:dyDescent="0.35">
      <c r="B72" s="167"/>
      <c r="C72" s="167"/>
      <c r="D72" s="168"/>
      <c r="E72" s="168"/>
      <c r="F72" s="168"/>
      <c r="G72" s="168"/>
      <c r="H72" s="169"/>
      <c r="N72" s="79"/>
      <c r="O72" s="103"/>
      <c r="P72" s="103"/>
      <c r="Q72" s="13"/>
      <c r="R72" s="21"/>
      <c r="T72" s="20"/>
      <c r="U72" s="13"/>
      <c r="V72" s="13"/>
      <c r="W72" s="13"/>
      <c r="X72" s="13"/>
      <c r="Y72" s="132"/>
      <c r="Z72" s="132"/>
      <c r="AA72" s="132"/>
      <c r="AB72" s="132"/>
      <c r="AC72" s="132"/>
      <c r="AD72" s="132"/>
      <c r="AE72" s="132"/>
      <c r="AF72" s="133"/>
    </row>
    <row r="73" spans="2:39" ht="10.5" customHeight="1" x14ac:dyDescent="0.35">
      <c r="N73" s="79"/>
      <c r="O73" s="103"/>
      <c r="P73" s="103"/>
      <c r="Q73" s="13"/>
      <c r="R73" s="21"/>
      <c r="T73" s="20"/>
      <c r="U73" s="13"/>
      <c r="V73" s="13"/>
      <c r="W73" s="13"/>
      <c r="X73" s="13"/>
      <c r="Y73" s="132"/>
      <c r="Z73" s="132"/>
      <c r="AA73" s="132"/>
      <c r="AB73" s="132"/>
      <c r="AC73" s="132"/>
      <c r="AD73" s="132"/>
      <c r="AE73" s="132"/>
      <c r="AF73" s="133"/>
    </row>
    <row r="74" spans="2:39" ht="10.5" customHeight="1" x14ac:dyDescent="0.35">
      <c r="N74" s="79"/>
      <c r="O74" s="103"/>
      <c r="P74" s="103"/>
      <c r="Q74" s="13"/>
      <c r="R74" s="21"/>
      <c r="T74" s="20"/>
      <c r="U74" s="13"/>
      <c r="V74" s="13"/>
      <c r="W74" s="13"/>
      <c r="X74" s="13"/>
      <c r="Y74" s="132"/>
      <c r="Z74" s="132"/>
      <c r="AA74" s="132"/>
      <c r="AB74" s="132"/>
      <c r="AC74" s="132"/>
      <c r="AD74" s="132"/>
      <c r="AE74" s="132"/>
      <c r="AF74" s="133"/>
    </row>
    <row r="75" spans="2:39" ht="10.5" customHeight="1" x14ac:dyDescent="0.35">
      <c r="B75" s="311" t="str">
        <f>VLOOKUP(195,T!A2:'T'!K2000,Order!B31+1)</f>
        <v>AHH-Excel-Version (Mollier-TX-Chart)</v>
      </c>
      <c r="C75" s="311"/>
      <c r="D75" s="311"/>
      <c r="E75" s="311"/>
      <c r="F75" s="311"/>
      <c r="G75" s="311"/>
      <c r="H75" s="311"/>
      <c r="N75" s="79"/>
      <c r="O75" s="103"/>
      <c r="P75" s="103"/>
      <c r="Q75" s="13"/>
      <c r="R75" s="21"/>
      <c r="T75" s="98"/>
      <c r="U75" s="16"/>
      <c r="V75" s="16"/>
      <c r="W75" s="16"/>
      <c r="X75" s="16"/>
      <c r="Y75" s="142"/>
      <c r="Z75" s="142"/>
      <c r="AA75" s="142"/>
      <c r="AB75" s="142"/>
      <c r="AC75" s="142"/>
      <c r="AD75" s="142"/>
      <c r="AE75" s="142"/>
      <c r="AF75" s="143"/>
    </row>
    <row r="76" spans="2:39" ht="10.5" customHeight="1" x14ac:dyDescent="0.35">
      <c r="B76" s="311"/>
      <c r="C76" s="311"/>
      <c r="D76" s="311"/>
      <c r="E76" s="311"/>
      <c r="F76" s="311"/>
      <c r="G76" s="311"/>
      <c r="H76" s="311"/>
      <c r="N76" s="80"/>
      <c r="O76" s="81"/>
      <c r="P76" s="81"/>
      <c r="Q76" s="16"/>
      <c r="R76" s="22"/>
    </row>
    <row r="77" spans="2:39" ht="10.5" customHeight="1" x14ac:dyDescent="0.35">
      <c r="T77" s="324" t="str">
        <f>VLOOKUP(237,T!A2:'T'!K2000,Order!B31+1)</f>
        <v>Pillow plate heat exchanger</v>
      </c>
      <c r="U77" s="325"/>
      <c r="V77" s="325"/>
      <c r="W77" s="325"/>
      <c r="X77" s="325"/>
      <c r="Y77" s="325"/>
      <c r="Z77" s="325"/>
      <c r="AA77" s="325"/>
      <c r="AB77" s="325"/>
      <c r="AC77" s="325"/>
      <c r="AD77" s="325"/>
      <c r="AE77" s="325"/>
      <c r="AF77" s="325"/>
      <c r="AG77" s="325"/>
      <c r="AH77" s="325"/>
      <c r="AI77" s="325"/>
      <c r="AJ77" s="325"/>
      <c r="AK77" s="325"/>
      <c r="AL77" s="325"/>
      <c r="AM77" s="326"/>
    </row>
    <row r="78" spans="2:39" ht="10.5" customHeight="1" x14ac:dyDescent="0.35">
      <c r="N78" s="305" t="str">
        <f>VLOOKUP(162,T!A2:'T'!K2000,Order!B31+1)</f>
        <v>Little used energy recovery systems</v>
      </c>
      <c r="O78" s="306"/>
      <c r="P78" s="306"/>
      <c r="Q78" s="306"/>
      <c r="R78" s="307"/>
      <c r="T78" s="327"/>
      <c r="U78" s="328"/>
      <c r="V78" s="328"/>
      <c r="W78" s="328"/>
      <c r="X78" s="328"/>
      <c r="Y78" s="328"/>
      <c r="Z78" s="328"/>
      <c r="AA78" s="328"/>
      <c r="AB78" s="328"/>
      <c r="AC78" s="328"/>
      <c r="AD78" s="328"/>
      <c r="AE78" s="328"/>
      <c r="AF78" s="328"/>
      <c r="AG78" s="328"/>
      <c r="AH78" s="328"/>
      <c r="AI78" s="328"/>
      <c r="AJ78" s="328"/>
      <c r="AK78" s="328"/>
      <c r="AL78" s="328"/>
      <c r="AM78" s="329"/>
    </row>
    <row r="79" spans="2:39" ht="10.5" customHeight="1" x14ac:dyDescent="0.35">
      <c r="N79" s="308"/>
      <c r="O79" s="309"/>
      <c r="P79" s="309"/>
      <c r="Q79" s="309"/>
      <c r="R79" s="310"/>
      <c r="T79" s="147"/>
      <c r="U79" s="144"/>
      <c r="V79" s="144"/>
      <c r="W79" s="144"/>
      <c r="X79" s="144"/>
      <c r="Y79" s="132"/>
      <c r="Z79" s="132"/>
      <c r="AA79" s="132"/>
      <c r="AB79" s="132"/>
      <c r="AC79" s="132"/>
      <c r="AD79" s="132"/>
      <c r="AE79" s="132"/>
      <c r="AF79" s="132"/>
      <c r="AG79" s="140"/>
      <c r="AH79" s="140"/>
      <c r="AI79" s="140"/>
      <c r="AJ79" s="140"/>
      <c r="AK79" s="140"/>
      <c r="AL79" s="140"/>
      <c r="AM79" s="141"/>
    </row>
    <row r="80" spans="2:39" ht="10.5" customHeight="1" x14ac:dyDescent="0.35">
      <c r="N80" s="99"/>
      <c r="O80" s="100"/>
      <c r="P80" s="100"/>
      <c r="Q80" s="100"/>
      <c r="R80" s="101"/>
      <c r="T80" s="147"/>
      <c r="U80" s="144"/>
      <c r="V80" s="144"/>
      <c r="W80" s="144"/>
      <c r="X80" s="144"/>
      <c r="Y80" s="222" t="str">
        <f>C26</f>
        <v>Pillow plate heat exchanger for recovery of harmful vapors</v>
      </c>
      <c r="Z80" s="132"/>
      <c r="AA80" s="132"/>
      <c r="AB80" s="132"/>
      <c r="AC80" s="132"/>
      <c r="AD80" s="222" t="str">
        <f>C27</f>
        <v>Pillow plate heat exchanger for ice storage</v>
      </c>
      <c r="AE80" s="132"/>
      <c r="AF80" s="132"/>
      <c r="AG80" s="132"/>
      <c r="AH80" s="132"/>
      <c r="AI80" s="222"/>
      <c r="AJ80" s="222" t="str">
        <f>VLOOKUP(247,T!A2:'T'!K2000,Order!B31+1)</f>
        <v>Pillow plate heat exchanger, falling film chiller for ice water</v>
      </c>
      <c r="AK80" s="132"/>
      <c r="AL80" s="132"/>
      <c r="AM80" s="133"/>
    </row>
    <row r="81" spans="1:43" ht="10.5" customHeight="1" x14ac:dyDescent="0.35">
      <c r="N81" s="79"/>
      <c r="O81" s="102" t="str">
        <f>VLOOKUP(193,T!A2:'T'!K2000,Order!B31+1)</f>
        <v>Winter service</v>
      </c>
      <c r="P81" s="13"/>
      <c r="Q81" s="102" t="str">
        <f>VLOOKUP(165,T!A2:'T'!K2000,Order!B31+1)</f>
        <v>Summer service</v>
      </c>
      <c r="R81" s="21"/>
      <c r="T81" s="147"/>
      <c r="U81" s="144"/>
      <c r="V81" s="144"/>
      <c r="W81" s="144"/>
      <c r="X81" s="144"/>
      <c r="Y81" s="132"/>
      <c r="Z81" s="132"/>
      <c r="AA81" s="132"/>
      <c r="AB81" s="132"/>
      <c r="AC81" s="132"/>
      <c r="AD81" s="132"/>
      <c r="AE81" s="132"/>
      <c r="AF81" s="132"/>
      <c r="AG81" s="132"/>
      <c r="AH81" s="132"/>
      <c r="AI81" s="132"/>
      <c r="AJ81" s="132"/>
      <c r="AK81" s="132"/>
      <c r="AL81" s="132"/>
      <c r="AM81" s="133"/>
    </row>
    <row r="82" spans="1:43" ht="10.5" customHeight="1" x14ac:dyDescent="0.35">
      <c r="N82" s="20"/>
      <c r="O82" s="13"/>
      <c r="P82" s="13"/>
      <c r="Q82" s="13"/>
      <c r="R82" s="21"/>
      <c r="T82" s="147"/>
      <c r="U82" s="144"/>
      <c r="V82" s="144"/>
      <c r="W82" s="144"/>
      <c r="X82" s="144"/>
      <c r="Y82" s="132"/>
      <c r="Z82" s="132"/>
      <c r="AA82" s="132"/>
      <c r="AB82" s="132"/>
      <c r="AC82" s="132"/>
      <c r="AD82" s="132"/>
      <c r="AE82" s="132"/>
      <c r="AF82" s="132"/>
      <c r="AG82" s="132"/>
      <c r="AH82" s="132"/>
      <c r="AI82" s="132"/>
      <c r="AJ82" s="132"/>
      <c r="AK82" s="132"/>
      <c r="AL82" s="132"/>
      <c r="AM82" s="133"/>
    </row>
    <row r="83" spans="1:43" ht="10.5" customHeight="1" x14ac:dyDescent="0.35">
      <c r="N83" s="14" t="s">
        <v>194</v>
      </c>
      <c r="O83" s="103"/>
      <c r="P83" s="103"/>
      <c r="Q83" s="13"/>
      <c r="R83" s="21"/>
      <c r="T83" s="147"/>
      <c r="U83" s="144"/>
      <c r="V83" s="144"/>
      <c r="W83" s="144"/>
      <c r="X83" s="144"/>
      <c r="Y83" s="132"/>
      <c r="Z83" s="132"/>
      <c r="AA83" s="132"/>
      <c r="AB83" s="132"/>
      <c r="AC83" s="132"/>
      <c r="AD83" s="132"/>
      <c r="AE83" s="132"/>
      <c r="AF83" s="132"/>
      <c r="AG83" s="132"/>
      <c r="AH83" s="132"/>
      <c r="AI83" s="132"/>
      <c r="AJ83" s="132"/>
      <c r="AK83" s="132"/>
      <c r="AL83" s="132"/>
      <c r="AM83" s="133"/>
    </row>
    <row r="84" spans="1:43" ht="10.5" customHeight="1" x14ac:dyDescent="0.35">
      <c r="N84" s="79"/>
      <c r="O84" s="13"/>
      <c r="P84" s="103"/>
      <c r="Q84" s="13"/>
      <c r="R84" s="21"/>
      <c r="T84" s="147"/>
      <c r="U84" s="144"/>
      <c r="V84" s="144"/>
      <c r="W84" s="144"/>
      <c r="X84" s="144"/>
      <c r="Y84" s="132"/>
      <c r="Z84" s="132"/>
      <c r="AA84" s="132"/>
      <c r="AB84" s="132"/>
      <c r="AC84" s="132"/>
      <c r="AD84" s="132"/>
      <c r="AE84" s="132"/>
      <c r="AF84" s="132"/>
      <c r="AG84" s="132"/>
      <c r="AH84" s="132"/>
      <c r="AI84" s="132"/>
      <c r="AJ84" s="132"/>
      <c r="AK84" s="132"/>
      <c r="AL84" s="132"/>
      <c r="AM84" s="133"/>
    </row>
    <row r="85" spans="1:43" ht="10.5" customHeight="1" x14ac:dyDescent="0.35">
      <c r="N85" s="20"/>
      <c r="O85" s="13"/>
      <c r="P85" s="13"/>
      <c r="Q85" s="13"/>
      <c r="R85" s="21"/>
      <c r="T85" s="147"/>
      <c r="U85" s="144"/>
      <c r="V85" s="144"/>
      <c r="W85" s="144"/>
      <c r="X85" s="144"/>
      <c r="Y85" s="132"/>
      <c r="Z85" s="132"/>
      <c r="AA85" s="132"/>
      <c r="AB85" s="132"/>
      <c r="AC85" s="132"/>
      <c r="AD85" s="132"/>
      <c r="AE85" s="132"/>
      <c r="AF85" s="132"/>
      <c r="AG85" s="132"/>
      <c r="AH85" s="132"/>
      <c r="AI85" s="132"/>
      <c r="AJ85" s="132"/>
      <c r="AK85" s="132"/>
      <c r="AL85" s="132"/>
      <c r="AM85" s="133"/>
    </row>
    <row r="86" spans="1:43" ht="10.5" customHeight="1" x14ac:dyDescent="0.35">
      <c r="N86" s="20"/>
      <c r="O86" s="13"/>
      <c r="P86" s="13"/>
      <c r="Q86" s="13"/>
      <c r="R86" s="21"/>
      <c r="T86" s="147"/>
      <c r="U86" s="144"/>
      <c r="V86" s="144"/>
      <c r="W86" s="144"/>
      <c r="X86" s="144"/>
      <c r="Y86" s="132"/>
      <c r="Z86" s="132"/>
      <c r="AA86" s="132"/>
      <c r="AB86" s="132"/>
      <c r="AC86" s="132"/>
      <c r="AD86" s="132"/>
      <c r="AE86" s="132"/>
      <c r="AF86" s="132"/>
      <c r="AG86" s="132"/>
      <c r="AH86" s="132"/>
      <c r="AI86" s="132"/>
      <c r="AJ86" s="132"/>
      <c r="AK86" s="132"/>
      <c r="AL86" s="132"/>
      <c r="AM86" s="133"/>
    </row>
    <row r="87" spans="1:43" ht="10.5" customHeight="1" x14ac:dyDescent="0.35">
      <c r="N87" s="20"/>
      <c r="O87" s="13"/>
      <c r="P87" s="13"/>
      <c r="Q87" s="13"/>
      <c r="R87" s="21"/>
      <c r="T87" s="147"/>
      <c r="U87" s="144"/>
      <c r="V87" s="144"/>
      <c r="W87" s="144"/>
      <c r="X87" s="144"/>
      <c r="Y87" s="132"/>
      <c r="Z87" s="132"/>
      <c r="AA87" s="132"/>
      <c r="AB87" s="132"/>
      <c r="AC87" s="132"/>
      <c r="AD87" s="132"/>
      <c r="AE87" s="132"/>
      <c r="AF87" s="132"/>
      <c r="AG87" s="132"/>
      <c r="AH87" s="132"/>
      <c r="AI87" s="132"/>
      <c r="AJ87" s="132"/>
      <c r="AK87" s="132"/>
      <c r="AL87" s="132"/>
      <c r="AM87" s="133"/>
    </row>
    <row r="88" spans="1:43" ht="10.5" customHeight="1" x14ac:dyDescent="0.35">
      <c r="N88" s="79"/>
      <c r="O88" s="103"/>
      <c r="P88" s="103"/>
      <c r="Q88" s="13"/>
      <c r="R88" s="21"/>
      <c r="T88" s="147"/>
      <c r="U88" s="144"/>
      <c r="V88" s="144"/>
      <c r="W88" s="144"/>
      <c r="X88" s="144"/>
      <c r="Y88" s="132"/>
      <c r="Z88" s="132"/>
      <c r="AA88" s="132"/>
      <c r="AB88" s="132"/>
      <c r="AC88" s="132"/>
      <c r="AD88" s="132"/>
      <c r="AE88" s="132"/>
      <c r="AF88" s="132"/>
      <c r="AG88" s="132"/>
      <c r="AH88" s="132"/>
      <c r="AI88" s="132"/>
      <c r="AJ88" s="132"/>
      <c r="AK88" s="132"/>
      <c r="AL88" s="132"/>
      <c r="AM88" s="133"/>
    </row>
    <row r="89" spans="1:43" ht="10.5" customHeight="1" x14ac:dyDescent="0.35">
      <c r="N89" s="79"/>
      <c r="O89" s="103"/>
      <c r="P89" s="103"/>
      <c r="Q89" s="13"/>
      <c r="R89" s="21"/>
      <c r="T89" s="147"/>
      <c r="U89" s="144"/>
      <c r="V89" s="144"/>
      <c r="W89" s="144"/>
      <c r="X89" s="144"/>
      <c r="Y89" s="132"/>
      <c r="Z89" s="132"/>
      <c r="AA89" s="132"/>
      <c r="AB89" s="132"/>
      <c r="AC89" s="132"/>
      <c r="AD89" s="132"/>
      <c r="AE89" s="132"/>
      <c r="AF89" s="132"/>
      <c r="AG89" s="132"/>
      <c r="AH89" s="132"/>
      <c r="AI89" s="132"/>
      <c r="AJ89" s="132"/>
      <c r="AK89" s="132"/>
      <c r="AL89" s="132"/>
      <c r="AM89" s="133"/>
    </row>
    <row r="90" spans="1:43" ht="10.5" customHeight="1" x14ac:dyDescent="0.35">
      <c r="N90" s="79"/>
      <c r="O90" s="103"/>
      <c r="P90" s="103"/>
      <c r="Q90" s="13"/>
      <c r="R90" s="21"/>
      <c r="T90" s="147"/>
      <c r="U90" s="144"/>
      <c r="V90" s="144"/>
      <c r="W90" s="144"/>
      <c r="X90" s="144"/>
      <c r="Y90" s="132"/>
      <c r="Z90" s="132"/>
      <c r="AA90" s="132"/>
      <c r="AB90" s="132"/>
      <c r="AC90" s="132"/>
      <c r="AD90" s="132"/>
      <c r="AE90" s="132"/>
      <c r="AF90" s="132"/>
      <c r="AG90" s="132"/>
      <c r="AH90" s="132"/>
      <c r="AI90" s="132"/>
      <c r="AJ90" s="132"/>
      <c r="AK90" s="132"/>
      <c r="AL90" s="132"/>
      <c r="AM90" s="133"/>
    </row>
    <row r="91" spans="1:43" s="42" customFormat="1" ht="10.5" customHeight="1" x14ac:dyDescent="0.35">
      <c r="A91" s="2"/>
      <c r="B91" s="3"/>
      <c r="C91" s="2"/>
      <c r="D91" s="2"/>
      <c r="E91" s="2"/>
      <c r="F91" s="2"/>
      <c r="G91" s="2"/>
      <c r="H91" s="2"/>
      <c r="I91" s="1"/>
      <c r="J91" s="1"/>
      <c r="K91" s="2"/>
      <c r="L91" s="2"/>
      <c r="M91" s="1"/>
      <c r="N91" s="79"/>
      <c r="O91" s="103"/>
      <c r="P91" s="103"/>
      <c r="Q91" s="13"/>
      <c r="R91" s="21"/>
      <c r="T91" s="147"/>
      <c r="U91" s="144"/>
      <c r="V91" s="144"/>
      <c r="W91" s="144"/>
      <c r="X91" s="144"/>
      <c r="Y91" s="132"/>
      <c r="Z91" s="132"/>
      <c r="AA91" s="132"/>
      <c r="AB91" s="132"/>
      <c r="AC91" s="132"/>
      <c r="AD91" s="132"/>
      <c r="AE91" s="132"/>
      <c r="AF91" s="132"/>
      <c r="AG91" s="132"/>
      <c r="AH91" s="132"/>
      <c r="AI91" s="132"/>
      <c r="AJ91" s="132"/>
      <c r="AK91" s="132"/>
      <c r="AL91" s="132"/>
      <c r="AM91" s="133"/>
      <c r="AN91" s="2"/>
      <c r="AO91" s="2"/>
      <c r="AP91" s="2"/>
      <c r="AQ91" s="2"/>
    </row>
    <row r="92" spans="1:43" s="42" customFormat="1" ht="10.5" customHeight="1" x14ac:dyDescent="0.35">
      <c r="A92" s="2"/>
      <c r="B92" s="3"/>
      <c r="C92" s="2"/>
      <c r="D92" s="2"/>
      <c r="E92" s="2"/>
      <c r="F92" s="2"/>
      <c r="G92" s="2"/>
      <c r="H92" s="2"/>
      <c r="I92" s="1"/>
      <c r="J92" s="1"/>
      <c r="K92" s="2"/>
      <c r="L92" s="2"/>
      <c r="M92" s="1"/>
      <c r="N92" s="79"/>
      <c r="O92" s="103"/>
      <c r="P92" s="103"/>
      <c r="Q92" s="13"/>
      <c r="R92" s="21"/>
      <c r="T92" s="147"/>
      <c r="U92" s="144"/>
      <c r="V92" s="144"/>
      <c r="W92" s="144"/>
      <c r="X92" s="144"/>
      <c r="Y92" s="132"/>
      <c r="Z92" s="132"/>
      <c r="AA92" s="132"/>
      <c r="AB92" s="132"/>
      <c r="AC92" s="132"/>
      <c r="AD92" s="132"/>
      <c r="AE92" s="132"/>
      <c r="AF92" s="132"/>
      <c r="AG92" s="132"/>
      <c r="AH92" s="132"/>
      <c r="AI92" s="132"/>
      <c r="AJ92" s="132"/>
      <c r="AK92" s="132"/>
      <c r="AL92" s="132"/>
      <c r="AM92" s="133"/>
      <c r="AN92" s="2"/>
      <c r="AO92" s="2"/>
      <c r="AP92" s="2"/>
      <c r="AQ92" s="2"/>
    </row>
    <row r="93" spans="1:43" s="42" customFormat="1" ht="10.5" customHeight="1" x14ac:dyDescent="0.35">
      <c r="A93" s="2"/>
      <c r="B93" s="3"/>
      <c r="C93" s="2"/>
      <c r="D93" s="2"/>
      <c r="E93" s="2"/>
      <c r="F93" s="2"/>
      <c r="G93" s="2"/>
      <c r="H93" s="2"/>
      <c r="I93" s="1"/>
      <c r="J93" s="1"/>
      <c r="K93" s="2"/>
      <c r="L93" s="2"/>
      <c r="M93" s="1"/>
      <c r="N93" s="79"/>
      <c r="O93" s="103"/>
      <c r="P93" s="103"/>
      <c r="Q93" s="13"/>
      <c r="R93" s="21"/>
      <c r="T93" s="147"/>
      <c r="U93" s="144"/>
      <c r="V93" s="144"/>
      <c r="W93" s="144"/>
      <c r="X93" s="144"/>
      <c r="Y93" s="132"/>
      <c r="Z93" s="132"/>
      <c r="AA93" s="132"/>
      <c r="AB93" s="132"/>
      <c r="AC93" s="132"/>
      <c r="AD93" s="132"/>
      <c r="AE93" s="132"/>
      <c r="AF93" s="132"/>
      <c r="AG93" s="132"/>
      <c r="AH93" s="132"/>
      <c r="AI93" s="132"/>
      <c r="AJ93" s="132"/>
      <c r="AK93" s="132"/>
      <c r="AL93" s="132"/>
      <c r="AM93" s="133"/>
      <c r="AN93" s="2"/>
      <c r="AO93" s="2"/>
      <c r="AP93" s="2"/>
      <c r="AQ93" s="2"/>
    </row>
    <row r="94" spans="1:43" s="42" customFormat="1" ht="10.5" customHeight="1" x14ac:dyDescent="0.35">
      <c r="A94" s="2"/>
      <c r="B94" s="3"/>
      <c r="C94" s="2"/>
      <c r="D94" s="2"/>
      <c r="E94" s="2"/>
      <c r="F94" s="2"/>
      <c r="G94" s="2"/>
      <c r="H94" s="2"/>
      <c r="I94" s="1"/>
      <c r="J94" s="1"/>
      <c r="K94" s="2"/>
      <c r="L94" s="2"/>
      <c r="M94" s="1"/>
      <c r="N94" s="20"/>
      <c r="O94" s="13"/>
      <c r="P94" s="13"/>
      <c r="Q94" s="13"/>
      <c r="R94" s="21"/>
      <c r="T94" s="147"/>
      <c r="U94" s="144"/>
      <c r="V94" s="144"/>
      <c r="W94" s="144"/>
      <c r="X94" s="144"/>
      <c r="Y94" s="132"/>
      <c r="Z94" s="132"/>
      <c r="AA94" s="132"/>
      <c r="AB94" s="132"/>
      <c r="AC94" s="132"/>
      <c r="AD94" s="132"/>
      <c r="AE94" s="132"/>
      <c r="AF94" s="132"/>
      <c r="AG94" s="132"/>
      <c r="AH94" s="132"/>
      <c r="AI94" s="132"/>
      <c r="AJ94" s="132"/>
      <c r="AK94" s="132"/>
      <c r="AL94" s="132"/>
      <c r="AM94" s="133"/>
      <c r="AN94" s="2"/>
      <c r="AO94" s="2"/>
      <c r="AP94" s="2"/>
      <c r="AQ94" s="2"/>
    </row>
    <row r="95" spans="1:43" s="42" customFormat="1" ht="10.5" customHeight="1" x14ac:dyDescent="0.35">
      <c r="A95" s="2"/>
      <c r="B95" s="3"/>
      <c r="C95" s="2"/>
      <c r="D95" s="2"/>
      <c r="E95" s="2"/>
      <c r="F95" s="2"/>
      <c r="G95" s="2"/>
      <c r="H95" s="2"/>
      <c r="I95" s="1"/>
      <c r="J95" s="1"/>
      <c r="K95" s="2"/>
      <c r="L95" s="2"/>
      <c r="M95" s="1"/>
      <c r="N95" s="20"/>
      <c r="O95" s="13"/>
      <c r="P95" s="13"/>
      <c r="Q95" s="13"/>
      <c r="R95" s="21"/>
      <c r="T95" s="147"/>
      <c r="U95" s="144"/>
      <c r="V95" s="144"/>
      <c r="W95" s="144"/>
      <c r="X95" s="144"/>
      <c r="Y95" s="132"/>
      <c r="Z95" s="132"/>
      <c r="AA95" s="132"/>
      <c r="AB95" s="132"/>
      <c r="AC95" s="132"/>
      <c r="AD95" s="132"/>
      <c r="AE95" s="132"/>
      <c r="AF95" s="132"/>
      <c r="AG95" s="132"/>
      <c r="AH95" s="132"/>
      <c r="AI95" s="132"/>
      <c r="AJ95" s="132"/>
      <c r="AK95" s="132"/>
      <c r="AL95" s="132"/>
      <c r="AM95" s="133"/>
      <c r="AN95" s="2"/>
      <c r="AO95" s="2"/>
      <c r="AP95" s="2"/>
      <c r="AQ95" s="2"/>
    </row>
    <row r="96" spans="1:43" s="42" customFormat="1" ht="10.5" customHeight="1" x14ac:dyDescent="0.35">
      <c r="A96" s="2"/>
      <c r="B96" s="3"/>
      <c r="C96" s="2"/>
      <c r="D96" s="2"/>
      <c r="E96" s="2"/>
      <c r="F96" s="2"/>
      <c r="G96" s="2"/>
      <c r="H96" s="2"/>
      <c r="I96" s="1"/>
      <c r="J96" s="1"/>
      <c r="K96" s="2"/>
      <c r="L96" s="2"/>
      <c r="M96" s="1"/>
      <c r="N96" s="20"/>
      <c r="O96" s="13"/>
      <c r="P96" s="13"/>
      <c r="Q96" s="13"/>
      <c r="R96" s="21"/>
      <c r="T96" s="147"/>
      <c r="U96" s="144"/>
      <c r="V96" s="144"/>
      <c r="W96" s="144"/>
      <c r="X96" s="144"/>
      <c r="Y96" s="132"/>
      <c r="Z96" s="132"/>
      <c r="AA96" s="132"/>
      <c r="AB96" s="132"/>
      <c r="AC96" s="132"/>
      <c r="AD96" s="132"/>
      <c r="AE96" s="132"/>
      <c r="AF96" s="132"/>
      <c r="AG96" s="132"/>
      <c r="AH96" s="132"/>
      <c r="AI96" s="132"/>
      <c r="AJ96" s="132"/>
      <c r="AK96" s="132"/>
      <c r="AL96" s="132"/>
      <c r="AM96" s="133"/>
      <c r="AN96" s="2"/>
      <c r="AO96" s="2"/>
      <c r="AP96" s="2"/>
      <c r="AQ96" s="2"/>
    </row>
    <row r="97" spans="1:43" s="42" customFormat="1" ht="10.5" customHeight="1" x14ac:dyDescent="0.35">
      <c r="A97" s="2"/>
      <c r="B97" s="3"/>
      <c r="C97" s="2"/>
      <c r="D97" s="2"/>
      <c r="E97" s="2"/>
      <c r="F97" s="2"/>
      <c r="G97" s="2"/>
      <c r="H97" s="2"/>
      <c r="I97" s="1"/>
      <c r="J97" s="1"/>
      <c r="K97" s="2"/>
      <c r="L97" s="2"/>
      <c r="M97" s="1"/>
      <c r="N97" s="79"/>
      <c r="O97" s="103"/>
      <c r="P97" s="103"/>
      <c r="Q97" s="13"/>
      <c r="R97" s="21"/>
      <c r="T97" s="147"/>
      <c r="U97" s="144"/>
      <c r="V97" s="144"/>
      <c r="W97" s="144"/>
      <c r="X97" s="144"/>
      <c r="Y97" s="132"/>
      <c r="Z97" s="132"/>
      <c r="AA97" s="132"/>
      <c r="AB97" s="132"/>
      <c r="AC97" s="132"/>
      <c r="AD97" s="132"/>
      <c r="AE97" s="132"/>
      <c r="AF97" s="132"/>
      <c r="AG97" s="132"/>
      <c r="AH97" s="132"/>
      <c r="AI97" s="132"/>
      <c r="AJ97" s="132"/>
      <c r="AK97" s="132"/>
      <c r="AL97" s="132"/>
      <c r="AM97" s="133"/>
      <c r="AN97" s="2"/>
      <c r="AO97" s="2"/>
      <c r="AP97" s="2"/>
      <c r="AQ97" s="2"/>
    </row>
    <row r="98" spans="1:43" s="42" customFormat="1" ht="10.5" customHeight="1" x14ac:dyDescent="0.35">
      <c r="A98" s="2"/>
      <c r="B98" s="3"/>
      <c r="C98" s="2"/>
      <c r="D98" s="2"/>
      <c r="E98" s="2"/>
      <c r="F98" s="2"/>
      <c r="G98" s="2"/>
      <c r="H98" s="2"/>
      <c r="I98" s="1"/>
      <c r="J98" s="1"/>
      <c r="K98" s="2"/>
      <c r="L98" s="2"/>
      <c r="M98" s="1"/>
      <c r="N98" s="79"/>
      <c r="O98" s="103"/>
      <c r="P98" s="103"/>
      <c r="Q98" s="13"/>
      <c r="R98" s="21"/>
      <c r="T98" s="147"/>
      <c r="U98" s="144"/>
      <c r="V98" s="144"/>
      <c r="W98" s="144"/>
      <c r="X98" s="144"/>
      <c r="Y98" s="132"/>
      <c r="Z98" s="132"/>
      <c r="AA98" s="132"/>
      <c r="AB98" s="132"/>
      <c r="AC98" s="132"/>
      <c r="AD98" s="132"/>
      <c r="AE98" s="132"/>
      <c r="AF98" s="132"/>
      <c r="AG98" s="132"/>
      <c r="AH98" s="132"/>
      <c r="AI98" s="132"/>
      <c r="AJ98" s="132"/>
      <c r="AK98" s="132"/>
      <c r="AL98" s="132"/>
      <c r="AM98" s="133"/>
      <c r="AN98" s="2"/>
      <c r="AO98" s="2"/>
      <c r="AP98" s="2"/>
      <c r="AQ98" s="2"/>
    </row>
    <row r="99" spans="1:43" s="42" customFormat="1" ht="10.5" customHeight="1" x14ac:dyDescent="0.35">
      <c r="A99" s="2"/>
      <c r="B99" s="3"/>
      <c r="C99" s="2"/>
      <c r="D99" s="2"/>
      <c r="E99" s="2"/>
      <c r="F99" s="2"/>
      <c r="G99" s="2"/>
      <c r="H99" s="2"/>
      <c r="I99" s="1"/>
      <c r="J99" s="1"/>
      <c r="K99" s="2"/>
      <c r="L99" s="2"/>
      <c r="M99" s="1"/>
      <c r="N99" s="14" t="s">
        <v>195</v>
      </c>
      <c r="O99" s="103"/>
      <c r="P99" s="103"/>
      <c r="Q99" s="13"/>
      <c r="R99" s="21"/>
      <c r="T99" s="147"/>
      <c r="U99" s="144"/>
      <c r="V99" s="144"/>
      <c r="W99" s="144"/>
      <c r="X99" s="144"/>
      <c r="Y99" s="132"/>
      <c r="Z99" s="132"/>
      <c r="AA99" s="132"/>
      <c r="AB99" s="132"/>
      <c r="AC99" s="132"/>
      <c r="AD99" s="132"/>
      <c r="AE99" s="132"/>
      <c r="AF99" s="132"/>
      <c r="AG99" s="132"/>
      <c r="AH99" s="132"/>
      <c r="AI99" s="132"/>
      <c r="AJ99" s="132"/>
      <c r="AK99" s="132"/>
      <c r="AL99" s="132"/>
      <c r="AM99" s="133"/>
      <c r="AN99" s="2"/>
      <c r="AO99" s="2"/>
      <c r="AP99" s="2"/>
      <c r="AQ99" s="2"/>
    </row>
    <row r="100" spans="1:43" s="42" customFormat="1" ht="10.5" customHeight="1" x14ac:dyDescent="0.35">
      <c r="A100" s="2"/>
      <c r="B100" s="3"/>
      <c r="C100" s="2"/>
      <c r="D100" s="2"/>
      <c r="E100" s="2"/>
      <c r="F100" s="2"/>
      <c r="G100" s="2"/>
      <c r="H100" s="2"/>
      <c r="I100" s="1"/>
      <c r="J100" s="1"/>
      <c r="K100" s="2"/>
      <c r="L100" s="2"/>
      <c r="M100" s="1"/>
      <c r="N100" s="79"/>
      <c r="O100" s="103"/>
      <c r="P100" s="103"/>
      <c r="Q100" s="13"/>
      <c r="R100" s="21"/>
      <c r="T100" s="147"/>
      <c r="U100" s="144"/>
      <c r="V100" s="144"/>
      <c r="W100" s="144"/>
      <c r="X100" s="144"/>
      <c r="Y100" s="132"/>
      <c r="Z100" s="132"/>
      <c r="AA100" s="132"/>
      <c r="AB100" s="132"/>
      <c r="AC100" s="132"/>
      <c r="AD100" s="132"/>
      <c r="AE100" s="132"/>
      <c r="AF100" s="132"/>
      <c r="AG100" s="132"/>
      <c r="AH100" s="132"/>
      <c r="AI100" s="132"/>
      <c r="AJ100" s="132"/>
      <c r="AK100" s="132"/>
      <c r="AL100" s="132"/>
      <c r="AM100" s="133"/>
      <c r="AN100" s="2"/>
      <c r="AO100" s="2"/>
      <c r="AP100" s="2"/>
      <c r="AQ100" s="2"/>
    </row>
    <row r="101" spans="1:43" s="42" customFormat="1" ht="10.5" customHeight="1" x14ac:dyDescent="0.35">
      <c r="A101" s="2"/>
      <c r="B101" s="3"/>
      <c r="C101" s="2"/>
      <c r="D101" s="2"/>
      <c r="E101" s="2"/>
      <c r="F101" s="2"/>
      <c r="G101" s="2"/>
      <c r="H101" s="2"/>
      <c r="I101" s="1"/>
      <c r="J101" s="1"/>
      <c r="K101" s="2"/>
      <c r="L101" s="2"/>
      <c r="M101" s="1"/>
      <c r="N101" s="20"/>
      <c r="O101" s="13"/>
      <c r="P101" s="13"/>
      <c r="Q101" s="13"/>
      <c r="R101" s="21"/>
      <c r="T101" s="147"/>
      <c r="U101" s="144"/>
      <c r="V101" s="144"/>
      <c r="W101" s="144"/>
      <c r="X101" s="144"/>
      <c r="Y101" s="132"/>
      <c r="Z101" s="132"/>
      <c r="AA101" s="132"/>
      <c r="AB101" s="132"/>
      <c r="AC101" s="132"/>
      <c r="AD101" s="132"/>
      <c r="AE101" s="132"/>
      <c r="AF101" s="132"/>
      <c r="AG101" s="132"/>
      <c r="AH101" s="132"/>
      <c r="AI101" s="132"/>
      <c r="AJ101" s="132"/>
      <c r="AK101" s="132"/>
      <c r="AL101" s="132"/>
      <c r="AM101" s="133"/>
      <c r="AN101" s="2"/>
      <c r="AO101" s="2"/>
      <c r="AP101" s="2"/>
      <c r="AQ101" s="2"/>
    </row>
    <row r="102" spans="1:43" s="42" customFormat="1" ht="10.5" customHeight="1" x14ac:dyDescent="0.35">
      <c r="A102" s="2"/>
      <c r="B102" s="3"/>
      <c r="C102" s="2"/>
      <c r="D102" s="2"/>
      <c r="E102" s="2"/>
      <c r="F102" s="2"/>
      <c r="G102" s="2"/>
      <c r="H102" s="2"/>
      <c r="I102" s="1"/>
      <c r="J102" s="1"/>
      <c r="K102" s="2"/>
      <c r="L102" s="2"/>
      <c r="M102" s="1"/>
      <c r="N102" s="20"/>
      <c r="O102" s="13"/>
      <c r="P102" s="13"/>
      <c r="Q102" s="13"/>
      <c r="R102" s="21"/>
      <c r="T102" s="147"/>
      <c r="U102" s="144"/>
      <c r="V102" s="144"/>
      <c r="W102" s="144"/>
      <c r="X102" s="144"/>
      <c r="Y102" s="132"/>
      <c r="Z102" s="132"/>
      <c r="AA102" s="132"/>
      <c r="AB102" s="132"/>
      <c r="AC102" s="132"/>
      <c r="AD102" s="132"/>
      <c r="AE102" s="132"/>
      <c r="AF102" s="132"/>
      <c r="AG102" s="132"/>
      <c r="AH102" s="132"/>
      <c r="AI102" s="132"/>
      <c r="AJ102" s="132"/>
      <c r="AK102" s="132"/>
      <c r="AL102" s="132"/>
      <c r="AM102" s="133"/>
      <c r="AN102" s="2"/>
      <c r="AO102" s="2"/>
      <c r="AP102" s="2"/>
      <c r="AQ102" s="2"/>
    </row>
    <row r="103" spans="1:43" s="42" customFormat="1" ht="10.5" customHeight="1" x14ac:dyDescent="0.35">
      <c r="A103" s="2"/>
      <c r="B103" s="3"/>
      <c r="C103" s="2"/>
      <c r="D103" s="2"/>
      <c r="E103" s="2"/>
      <c r="F103" s="2"/>
      <c r="G103" s="2"/>
      <c r="H103" s="2"/>
      <c r="I103" s="1"/>
      <c r="J103" s="1"/>
      <c r="K103" s="2"/>
      <c r="L103" s="2"/>
      <c r="M103" s="1"/>
      <c r="N103" s="20"/>
      <c r="O103" s="13"/>
      <c r="P103" s="13"/>
      <c r="Q103" s="13"/>
      <c r="R103" s="21"/>
      <c r="T103" s="147"/>
      <c r="U103" s="144"/>
      <c r="V103" s="144"/>
      <c r="W103" s="144"/>
      <c r="X103" s="144"/>
      <c r="Y103" s="132"/>
      <c r="Z103" s="132"/>
      <c r="AA103" s="132"/>
      <c r="AB103" s="132"/>
      <c r="AC103" s="132"/>
      <c r="AD103" s="132"/>
      <c r="AE103" s="132"/>
      <c r="AF103" s="132"/>
      <c r="AG103" s="132"/>
      <c r="AH103" s="132"/>
      <c r="AI103" s="132"/>
      <c r="AJ103" s="132"/>
      <c r="AK103" s="132"/>
      <c r="AL103" s="132"/>
      <c r="AM103" s="133"/>
      <c r="AN103" s="2"/>
      <c r="AO103" s="2"/>
      <c r="AP103" s="2"/>
      <c r="AQ103" s="2"/>
    </row>
    <row r="104" spans="1:43" s="42" customFormat="1" ht="10.5" customHeight="1" x14ac:dyDescent="0.35">
      <c r="A104" s="2"/>
      <c r="B104" s="3"/>
      <c r="C104" s="2"/>
      <c r="D104" s="2"/>
      <c r="E104" s="2"/>
      <c r="F104" s="2"/>
      <c r="G104" s="2"/>
      <c r="H104" s="2"/>
      <c r="I104" s="1"/>
      <c r="J104" s="1"/>
      <c r="K104" s="2"/>
      <c r="L104" s="2"/>
      <c r="M104" s="1"/>
      <c r="N104" s="79"/>
      <c r="O104" s="103"/>
      <c r="P104" s="103"/>
      <c r="Q104" s="13"/>
      <c r="R104" s="21"/>
      <c r="T104" s="147"/>
      <c r="U104" s="144"/>
      <c r="V104" s="144"/>
      <c r="W104" s="144"/>
      <c r="X104" s="144"/>
      <c r="Y104" s="132"/>
      <c r="Z104" s="132"/>
      <c r="AA104" s="132"/>
      <c r="AB104" s="132"/>
      <c r="AC104" s="132"/>
      <c r="AD104" s="132"/>
      <c r="AE104" s="132"/>
      <c r="AF104" s="132"/>
      <c r="AG104" s="132"/>
      <c r="AH104" s="132"/>
      <c r="AI104" s="132"/>
      <c r="AJ104" s="132"/>
      <c r="AK104" s="132"/>
      <c r="AL104" s="132"/>
      <c r="AM104" s="133"/>
      <c r="AN104" s="2"/>
      <c r="AO104" s="2"/>
      <c r="AP104" s="2"/>
      <c r="AQ104" s="2"/>
    </row>
    <row r="105" spans="1:43" s="42" customFormat="1" ht="10.5" customHeight="1" x14ac:dyDescent="0.35">
      <c r="A105" s="2"/>
      <c r="B105" s="3"/>
      <c r="C105" s="2"/>
      <c r="D105" s="2"/>
      <c r="E105" s="2"/>
      <c r="F105" s="2"/>
      <c r="G105" s="2"/>
      <c r="H105" s="2"/>
      <c r="I105" s="1"/>
      <c r="J105" s="1"/>
      <c r="K105" s="2"/>
      <c r="L105" s="2"/>
      <c r="M105" s="1"/>
      <c r="N105" s="79"/>
      <c r="O105" s="103"/>
      <c r="P105" s="103"/>
      <c r="Q105" s="13"/>
      <c r="R105" s="21"/>
      <c r="T105" s="147"/>
      <c r="U105" s="144"/>
      <c r="V105" s="144"/>
      <c r="W105" s="144"/>
      <c r="X105" s="144"/>
      <c r="Y105" s="132"/>
      <c r="Z105" s="132"/>
      <c r="AA105" s="132"/>
      <c r="AB105" s="132"/>
      <c r="AC105" s="132"/>
      <c r="AD105" s="132"/>
      <c r="AE105" s="132"/>
      <c r="AF105" s="132"/>
      <c r="AG105" s="132"/>
      <c r="AH105" s="132"/>
      <c r="AI105" s="132"/>
      <c r="AJ105" s="132"/>
      <c r="AK105" s="132"/>
      <c r="AL105" s="132"/>
      <c r="AM105" s="133"/>
      <c r="AN105" s="2"/>
      <c r="AO105" s="2"/>
      <c r="AP105" s="2"/>
      <c r="AQ105" s="2"/>
    </row>
    <row r="106" spans="1:43" ht="10.5" customHeight="1" x14ac:dyDescent="0.35">
      <c r="N106" s="79"/>
      <c r="O106" s="103"/>
      <c r="P106" s="103"/>
      <c r="Q106" s="13"/>
      <c r="R106" s="21"/>
      <c r="T106" s="147"/>
      <c r="U106" s="144"/>
      <c r="V106" s="144"/>
      <c r="W106" s="144"/>
      <c r="X106" s="144"/>
      <c r="Y106" s="132"/>
      <c r="Z106" s="132"/>
      <c r="AA106" s="132"/>
      <c r="AB106" s="132"/>
      <c r="AC106" s="132"/>
      <c r="AD106" s="132"/>
      <c r="AE106" s="132"/>
      <c r="AF106" s="132"/>
      <c r="AG106" s="132"/>
      <c r="AH106" s="132"/>
      <c r="AI106" s="132"/>
      <c r="AJ106" s="132"/>
      <c r="AK106" s="132"/>
      <c r="AL106" s="132"/>
      <c r="AM106" s="133"/>
    </row>
    <row r="107" spans="1:43" s="42" customFormat="1" ht="10.5" customHeight="1" x14ac:dyDescent="0.35">
      <c r="A107" s="2"/>
      <c r="B107" s="3"/>
      <c r="C107" s="2"/>
      <c r="D107" s="2"/>
      <c r="E107" s="2"/>
      <c r="F107" s="2"/>
      <c r="G107" s="2"/>
      <c r="H107" s="2"/>
      <c r="I107" s="1"/>
      <c r="J107" s="1"/>
      <c r="K107" s="2"/>
      <c r="L107" s="2"/>
      <c r="M107" s="1"/>
      <c r="N107" s="79"/>
      <c r="O107" s="103"/>
      <c r="P107" s="103"/>
      <c r="Q107" s="13"/>
      <c r="R107" s="21"/>
      <c r="T107" s="147"/>
      <c r="U107" s="144"/>
      <c r="V107" s="144"/>
      <c r="W107" s="144"/>
      <c r="X107" s="144"/>
      <c r="Y107" s="132"/>
      <c r="Z107" s="132"/>
      <c r="AA107" s="132"/>
      <c r="AB107" s="132"/>
      <c r="AC107" s="132"/>
      <c r="AD107" s="132"/>
      <c r="AE107" s="132"/>
      <c r="AF107" s="132"/>
      <c r="AG107" s="132"/>
      <c r="AH107" s="132"/>
      <c r="AI107" s="132"/>
      <c r="AJ107" s="132"/>
      <c r="AK107" s="132"/>
      <c r="AL107" s="132"/>
      <c r="AM107" s="133"/>
      <c r="AN107" s="2"/>
      <c r="AO107" s="2"/>
      <c r="AP107" s="2"/>
      <c r="AQ107" s="2"/>
    </row>
    <row r="108" spans="1:43" s="42" customFormat="1" ht="10.5" customHeight="1" x14ac:dyDescent="0.35">
      <c r="A108" s="2"/>
      <c r="B108" s="3"/>
      <c r="C108" s="2"/>
      <c r="D108" s="2"/>
      <c r="E108" s="2"/>
      <c r="F108" s="2"/>
      <c r="G108" s="2"/>
      <c r="H108" s="2"/>
      <c r="I108" s="1"/>
      <c r="J108" s="1"/>
      <c r="K108" s="2"/>
      <c r="L108" s="2"/>
      <c r="M108" s="1"/>
      <c r="N108" s="79"/>
      <c r="O108" s="103"/>
      <c r="P108" s="103"/>
      <c r="Q108" s="13"/>
      <c r="R108" s="21"/>
      <c r="T108" s="147"/>
      <c r="U108" s="144"/>
      <c r="V108" s="144"/>
      <c r="W108" s="144"/>
      <c r="X108" s="144"/>
      <c r="Y108" s="132"/>
      <c r="Z108" s="132"/>
      <c r="AA108" s="132"/>
      <c r="AB108" s="132"/>
      <c r="AC108" s="132"/>
      <c r="AD108" s="132"/>
      <c r="AE108" s="132"/>
      <c r="AF108" s="132"/>
      <c r="AG108" s="132"/>
      <c r="AH108" s="132"/>
      <c r="AI108" s="132"/>
      <c r="AJ108" s="132"/>
      <c r="AK108" s="132"/>
      <c r="AL108" s="132"/>
      <c r="AM108" s="133"/>
      <c r="AN108" s="2"/>
      <c r="AO108" s="2"/>
      <c r="AP108" s="2"/>
      <c r="AQ108" s="2"/>
    </row>
    <row r="109" spans="1:43" s="42" customFormat="1" ht="10.5" customHeight="1" x14ac:dyDescent="0.35">
      <c r="A109" s="2"/>
      <c r="B109" s="3"/>
      <c r="C109" s="2"/>
      <c r="D109" s="2"/>
      <c r="E109" s="2"/>
      <c r="F109" s="2"/>
      <c r="G109" s="2"/>
      <c r="H109" s="2"/>
      <c r="I109" s="1"/>
      <c r="J109" s="1"/>
      <c r="K109" s="2"/>
      <c r="L109" s="2"/>
      <c r="M109" s="1"/>
      <c r="N109" s="79"/>
      <c r="O109" s="103"/>
      <c r="P109" s="103"/>
      <c r="Q109" s="13"/>
      <c r="R109" s="21"/>
      <c r="T109" s="147"/>
      <c r="U109" s="144"/>
      <c r="V109" s="144"/>
      <c r="W109" s="144"/>
      <c r="X109" s="144"/>
      <c r="Y109" s="132"/>
      <c r="Z109" s="132"/>
      <c r="AA109" s="132"/>
      <c r="AB109" s="132"/>
      <c r="AC109" s="132"/>
      <c r="AD109" s="132"/>
      <c r="AE109" s="132"/>
      <c r="AF109" s="132"/>
      <c r="AG109" s="132"/>
      <c r="AH109" s="132"/>
      <c r="AI109" s="132"/>
      <c r="AJ109" s="132"/>
      <c r="AK109" s="132"/>
      <c r="AL109" s="132"/>
      <c r="AM109" s="133"/>
      <c r="AN109" s="2"/>
      <c r="AO109" s="2"/>
      <c r="AP109" s="2"/>
      <c r="AQ109" s="2"/>
    </row>
    <row r="110" spans="1:43" s="42" customFormat="1" ht="10.5" customHeight="1" x14ac:dyDescent="0.35">
      <c r="A110" s="2"/>
      <c r="B110" s="3"/>
      <c r="C110" s="2"/>
      <c r="D110" s="2"/>
      <c r="E110" s="2"/>
      <c r="F110" s="2"/>
      <c r="G110" s="2"/>
      <c r="H110" s="2"/>
      <c r="I110" s="1"/>
      <c r="J110" s="1"/>
      <c r="K110" s="2"/>
      <c r="L110" s="2"/>
      <c r="M110" s="1"/>
      <c r="N110" s="79"/>
      <c r="O110" s="103"/>
      <c r="P110" s="103"/>
      <c r="Q110" s="13"/>
      <c r="R110" s="21"/>
      <c r="T110" s="147"/>
      <c r="U110" s="144"/>
      <c r="V110" s="144"/>
      <c r="W110" s="144"/>
      <c r="X110" s="144"/>
      <c r="Y110" s="132"/>
      <c r="Z110" s="132"/>
      <c r="AA110" s="132"/>
      <c r="AB110" s="132"/>
      <c r="AC110" s="132"/>
      <c r="AD110" s="132"/>
      <c r="AE110" s="132"/>
      <c r="AF110" s="132"/>
      <c r="AG110" s="132"/>
      <c r="AH110" s="132"/>
      <c r="AI110" s="132"/>
      <c r="AJ110" s="132"/>
      <c r="AK110" s="132"/>
      <c r="AL110" s="132"/>
      <c r="AM110" s="133"/>
      <c r="AN110" s="2"/>
      <c r="AO110" s="2"/>
      <c r="AP110" s="2"/>
      <c r="AQ110" s="2"/>
    </row>
    <row r="111" spans="1:43" s="42" customFormat="1" ht="10.5" customHeight="1" x14ac:dyDescent="0.35">
      <c r="A111" s="2"/>
      <c r="B111" s="3"/>
      <c r="C111" s="2"/>
      <c r="D111" s="2"/>
      <c r="E111" s="2"/>
      <c r="F111" s="2"/>
      <c r="G111" s="2"/>
      <c r="H111" s="2"/>
      <c r="I111" s="1"/>
      <c r="J111" s="1"/>
      <c r="K111" s="2"/>
      <c r="L111" s="2"/>
      <c r="M111" s="1"/>
      <c r="N111" s="79"/>
      <c r="O111" s="103"/>
      <c r="P111" s="103"/>
      <c r="Q111" s="13"/>
      <c r="R111" s="21"/>
      <c r="T111" s="147"/>
      <c r="U111" s="144"/>
      <c r="V111" s="144"/>
      <c r="W111" s="144"/>
      <c r="X111" s="144"/>
      <c r="Y111" s="132"/>
      <c r="Z111" s="132"/>
      <c r="AA111" s="132"/>
      <c r="AB111" s="132"/>
      <c r="AC111" s="132"/>
      <c r="AD111" s="132"/>
      <c r="AE111" s="132"/>
      <c r="AF111" s="132"/>
      <c r="AG111" s="132"/>
      <c r="AH111" s="132"/>
      <c r="AI111" s="132"/>
      <c r="AJ111" s="132"/>
      <c r="AK111" s="132"/>
      <c r="AL111" s="132"/>
      <c r="AM111" s="133"/>
      <c r="AN111" s="2"/>
      <c r="AO111" s="2"/>
      <c r="AP111" s="2"/>
      <c r="AQ111" s="2"/>
    </row>
    <row r="112" spans="1:43" s="42" customFormat="1" ht="10.5" customHeight="1" x14ac:dyDescent="0.35">
      <c r="A112" s="2"/>
      <c r="B112" s="3"/>
      <c r="C112" s="2"/>
      <c r="D112" s="2"/>
      <c r="E112" s="2"/>
      <c r="F112" s="2"/>
      <c r="G112" s="2"/>
      <c r="H112" s="2"/>
      <c r="I112" s="1"/>
      <c r="J112" s="1"/>
      <c r="K112" s="2"/>
      <c r="L112" s="2"/>
      <c r="M112" s="1"/>
      <c r="N112" s="79"/>
      <c r="O112" s="103"/>
      <c r="P112" s="103"/>
      <c r="Q112" s="13"/>
      <c r="R112" s="21"/>
      <c r="T112" s="147"/>
      <c r="U112" s="144"/>
      <c r="V112" s="144"/>
      <c r="W112" s="144"/>
      <c r="X112" s="144"/>
      <c r="Y112" s="132"/>
      <c r="Z112" s="132"/>
      <c r="AA112" s="132"/>
      <c r="AB112" s="132"/>
      <c r="AC112" s="132"/>
      <c r="AD112" s="132"/>
      <c r="AE112" s="132"/>
      <c r="AF112" s="132"/>
      <c r="AG112" s="132"/>
      <c r="AH112" s="132"/>
      <c r="AI112" s="132"/>
      <c r="AJ112" s="132"/>
      <c r="AK112" s="132"/>
      <c r="AL112" s="132"/>
      <c r="AM112" s="133"/>
      <c r="AN112" s="2"/>
      <c r="AO112" s="2"/>
      <c r="AP112" s="2"/>
      <c r="AQ112" s="2"/>
    </row>
    <row r="113" spans="1:43" s="42" customFormat="1" ht="10.5" customHeight="1" x14ac:dyDescent="0.35">
      <c r="A113" s="2"/>
      <c r="B113" s="3"/>
      <c r="C113" s="2"/>
      <c r="D113" s="2"/>
      <c r="E113" s="2"/>
      <c r="F113" s="2"/>
      <c r="G113" s="2"/>
      <c r="H113" s="2"/>
      <c r="I113" s="1"/>
      <c r="J113" s="1"/>
      <c r="K113" s="2"/>
      <c r="L113" s="2"/>
      <c r="M113" s="1"/>
      <c r="N113" s="79"/>
      <c r="O113" s="103"/>
      <c r="P113" s="103"/>
      <c r="Q113" s="13"/>
      <c r="R113" s="21"/>
      <c r="T113" s="147"/>
      <c r="U113" s="144"/>
      <c r="V113" s="144"/>
      <c r="W113" s="144"/>
      <c r="X113" s="144"/>
      <c r="Y113" s="132"/>
      <c r="Z113" s="132"/>
      <c r="AA113" s="132"/>
      <c r="AB113" s="132"/>
      <c r="AC113" s="132"/>
      <c r="AD113" s="132"/>
      <c r="AE113" s="132"/>
      <c r="AF113" s="132"/>
      <c r="AG113" s="132"/>
      <c r="AH113" s="132"/>
      <c r="AI113" s="132"/>
      <c r="AJ113" s="132"/>
      <c r="AK113" s="132"/>
      <c r="AL113" s="132"/>
      <c r="AM113" s="133"/>
      <c r="AN113" s="2"/>
      <c r="AO113" s="2"/>
      <c r="AP113" s="2"/>
      <c r="AQ113" s="2"/>
    </row>
    <row r="114" spans="1:43" s="42" customFormat="1" ht="10.5" customHeight="1" x14ac:dyDescent="0.35">
      <c r="A114" s="2"/>
      <c r="B114" s="3"/>
      <c r="C114" s="2"/>
      <c r="D114" s="2"/>
      <c r="E114" s="2"/>
      <c r="F114" s="2"/>
      <c r="G114" s="2"/>
      <c r="H114" s="2"/>
      <c r="I114" s="1"/>
      <c r="J114" s="1"/>
      <c r="K114" s="2"/>
      <c r="L114" s="2"/>
      <c r="M114" s="1"/>
      <c r="N114" s="80"/>
      <c r="O114" s="81"/>
      <c r="P114" s="81"/>
      <c r="Q114" s="16"/>
      <c r="R114" s="22"/>
      <c r="T114" s="147"/>
      <c r="U114" s="144"/>
      <c r="V114" s="144"/>
      <c r="W114" s="144"/>
      <c r="X114" s="144"/>
      <c r="Y114" s="132"/>
      <c r="Z114" s="132"/>
      <c r="AA114" s="132"/>
      <c r="AB114" s="132"/>
      <c r="AC114" s="132"/>
      <c r="AD114" s="132"/>
      <c r="AE114" s="132"/>
      <c r="AF114" s="132"/>
      <c r="AG114" s="132"/>
      <c r="AH114" s="132"/>
      <c r="AI114" s="132"/>
      <c r="AJ114" s="132"/>
      <c r="AK114" s="132"/>
      <c r="AL114" s="132"/>
      <c r="AM114" s="133"/>
      <c r="AN114" s="2"/>
      <c r="AO114" s="2"/>
      <c r="AP114" s="2"/>
      <c r="AQ114" s="2"/>
    </row>
    <row r="115" spans="1:43" s="42" customFormat="1" ht="10.5" customHeight="1" x14ac:dyDescent="0.35">
      <c r="A115" s="2"/>
      <c r="B115" s="3"/>
      <c r="C115" s="2"/>
      <c r="D115" s="2"/>
      <c r="E115" s="2"/>
      <c r="F115" s="2"/>
      <c r="G115" s="2"/>
      <c r="H115" s="2"/>
      <c r="I115" s="1"/>
      <c r="J115" s="1"/>
      <c r="K115" s="2"/>
      <c r="L115" s="2"/>
      <c r="M115" s="1"/>
      <c r="N115" s="1"/>
      <c r="O115" s="1"/>
      <c r="P115" s="1"/>
      <c r="Q115" s="1"/>
      <c r="T115" s="147"/>
      <c r="U115" s="144"/>
      <c r="V115" s="144"/>
      <c r="W115" s="144"/>
      <c r="X115" s="144"/>
      <c r="Y115" s="132"/>
      <c r="Z115" s="132"/>
      <c r="AA115" s="132"/>
      <c r="AB115" s="132"/>
      <c r="AC115" s="132"/>
      <c r="AD115" s="132"/>
      <c r="AE115" s="132"/>
      <c r="AF115" s="132"/>
      <c r="AG115" s="132"/>
      <c r="AH115" s="132"/>
      <c r="AI115" s="132"/>
      <c r="AJ115" s="132"/>
      <c r="AK115" s="132"/>
      <c r="AL115" s="132"/>
      <c r="AM115" s="133"/>
      <c r="AN115" s="2"/>
      <c r="AO115" s="2"/>
      <c r="AP115" s="2"/>
      <c r="AQ115" s="2"/>
    </row>
    <row r="116" spans="1:43" s="42" customFormat="1" ht="10.5" customHeight="1" x14ac:dyDescent="0.35">
      <c r="A116" s="2"/>
      <c r="B116" s="3"/>
      <c r="C116" s="2"/>
      <c r="D116" s="2"/>
      <c r="E116" s="2"/>
      <c r="F116" s="2"/>
      <c r="G116" s="2"/>
      <c r="H116" s="2"/>
      <c r="I116" s="1"/>
      <c r="J116" s="1"/>
      <c r="K116" s="2"/>
      <c r="L116" s="2"/>
      <c r="M116" s="1"/>
      <c r="N116" s="305" t="str">
        <f>VLOOKUP(163,T!A2:'T'!K2000,Order!B31+1)</f>
        <v>Rarely used energy recovery systems</v>
      </c>
      <c r="O116" s="306"/>
      <c r="P116" s="306"/>
      <c r="Q116" s="306"/>
      <c r="R116" s="307"/>
      <c r="T116" s="147"/>
      <c r="U116" s="144"/>
      <c r="V116" s="144"/>
      <c r="W116" s="144"/>
      <c r="X116" s="144"/>
      <c r="Y116" s="132"/>
      <c r="Z116" s="132"/>
      <c r="AA116" s="132"/>
      <c r="AB116" s="132"/>
      <c r="AC116" s="132"/>
      <c r="AD116" s="132"/>
      <c r="AE116" s="132"/>
      <c r="AF116" s="132"/>
      <c r="AG116" s="132"/>
      <c r="AH116" s="132"/>
      <c r="AI116" s="132"/>
      <c r="AJ116" s="132"/>
      <c r="AK116" s="132"/>
      <c r="AL116" s="132"/>
      <c r="AM116" s="133"/>
      <c r="AN116" s="2"/>
      <c r="AO116" s="2"/>
      <c r="AP116" s="2"/>
      <c r="AQ116" s="2"/>
    </row>
    <row r="117" spans="1:43" s="42" customFormat="1" ht="10.5" customHeight="1" x14ac:dyDescent="0.35">
      <c r="A117" s="2"/>
      <c r="B117" s="3"/>
      <c r="C117" s="2"/>
      <c r="D117" s="2"/>
      <c r="E117" s="2"/>
      <c r="F117" s="2"/>
      <c r="G117" s="2"/>
      <c r="H117" s="2"/>
      <c r="I117" s="1"/>
      <c r="J117" s="1"/>
      <c r="K117" s="2"/>
      <c r="L117" s="2"/>
      <c r="M117" s="1"/>
      <c r="N117" s="308"/>
      <c r="O117" s="309"/>
      <c r="P117" s="309"/>
      <c r="Q117" s="309"/>
      <c r="R117" s="310"/>
      <c r="T117" s="147"/>
      <c r="U117" s="144"/>
      <c r="V117" s="144"/>
      <c r="W117" s="144"/>
      <c r="X117" s="144"/>
      <c r="Y117" s="132"/>
      <c r="Z117" s="132"/>
      <c r="AA117" s="132"/>
      <c r="AB117" s="132"/>
      <c r="AC117" s="132"/>
      <c r="AD117" s="132"/>
      <c r="AE117" s="132"/>
      <c r="AF117" s="132"/>
      <c r="AG117" s="132"/>
      <c r="AH117" s="132"/>
      <c r="AI117" s="132"/>
      <c r="AJ117" s="132"/>
      <c r="AK117" s="132"/>
      <c r="AL117" s="132"/>
      <c r="AM117" s="133"/>
      <c r="AN117" s="2"/>
      <c r="AO117" s="2"/>
      <c r="AP117" s="2"/>
      <c r="AQ117" s="2"/>
    </row>
    <row r="118" spans="1:43" s="42" customFormat="1" ht="10.5" customHeight="1" x14ac:dyDescent="0.35">
      <c r="A118" s="2"/>
      <c r="B118" s="3"/>
      <c r="C118" s="2"/>
      <c r="D118" s="2"/>
      <c r="E118" s="2"/>
      <c r="F118" s="2"/>
      <c r="G118" s="2"/>
      <c r="H118" s="2"/>
      <c r="I118" s="1"/>
      <c r="J118" s="1"/>
      <c r="K118" s="2"/>
      <c r="L118" s="2"/>
      <c r="M118" s="1"/>
      <c r="N118" s="99"/>
      <c r="O118" s="100"/>
      <c r="P118" s="100"/>
      <c r="Q118" s="100"/>
      <c r="R118" s="101"/>
      <c r="T118" s="147"/>
      <c r="U118" s="144"/>
      <c r="V118" s="144"/>
      <c r="W118" s="144"/>
      <c r="X118" s="144"/>
      <c r="Y118" s="132"/>
      <c r="Z118" s="132"/>
      <c r="AA118" s="132"/>
      <c r="AB118" s="132"/>
      <c r="AC118" s="132"/>
      <c r="AD118" s="132"/>
      <c r="AE118" s="132"/>
      <c r="AF118" s="132"/>
      <c r="AG118" s="132"/>
      <c r="AH118" s="132"/>
      <c r="AI118" s="132"/>
      <c r="AJ118" s="132"/>
      <c r="AK118" s="132"/>
      <c r="AL118" s="132"/>
      <c r="AM118" s="133"/>
      <c r="AN118" s="2"/>
      <c r="AO118" s="2"/>
      <c r="AP118" s="2"/>
      <c r="AQ118" s="2"/>
    </row>
    <row r="119" spans="1:43" s="42" customFormat="1" ht="10.5" customHeight="1" x14ac:dyDescent="0.35">
      <c r="A119" s="2"/>
      <c r="B119" s="3"/>
      <c r="C119" s="2"/>
      <c r="D119" s="2"/>
      <c r="E119" s="2"/>
      <c r="F119" s="2"/>
      <c r="G119" s="2"/>
      <c r="H119" s="2"/>
      <c r="I119" s="1"/>
      <c r="J119" s="1"/>
      <c r="K119" s="2"/>
      <c r="L119" s="2"/>
      <c r="M119" s="1"/>
      <c r="N119" s="79"/>
      <c r="O119" s="102" t="str">
        <f>VLOOKUP(193,T!A2:'T'!K2000,Order!B31+1)</f>
        <v>Winter service</v>
      </c>
      <c r="P119" s="13"/>
      <c r="Q119" s="102" t="str">
        <f>VLOOKUP(165,T!A2:'T'!K2000,Order!B31+1)</f>
        <v>Summer service</v>
      </c>
      <c r="R119" s="21"/>
      <c r="T119" s="147"/>
      <c r="U119" s="144"/>
      <c r="V119" s="144"/>
      <c r="W119" s="144"/>
      <c r="X119" s="144"/>
      <c r="Y119" s="132"/>
      <c r="Z119" s="132"/>
      <c r="AA119" s="132"/>
      <c r="AB119" s="132"/>
      <c r="AC119" s="132"/>
      <c r="AD119" s="132"/>
      <c r="AE119" s="132"/>
      <c r="AF119" s="132"/>
      <c r="AG119" s="132"/>
      <c r="AH119" s="132"/>
      <c r="AI119" s="132"/>
      <c r="AJ119" s="132"/>
      <c r="AK119" s="132"/>
      <c r="AL119" s="132"/>
      <c r="AM119" s="133"/>
      <c r="AN119" s="2"/>
      <c r="AO119" s="2"/>
      <c r="AP119" s="2"/>
      <c r="AQ119" s="2"/>
    </row>
    <row r="120" spans="1:43" s="42" customFormat="1" ht="10.5" customHeight="1" x14ac:dyDescent="0.35">
      <c r="A120" s="2"/>
      <c r="B120" s="3"/>
      <c r="C120" s="2"/>
      <c r="D120" s="2"/>
      <c r="E120" s="2"/>
      <c r="F120" s="2"/>
      <c r="G120" s="2"/>
      <c r="H120" s="2"/>
      <c r="I120" s="1"/>
      <c r="J120" s="1"/>
      <c r="K120" s="2"/>
      <c r="L120" s="2"/>
      <c r="M120" s="1"/>
      <c r="N120" s="79"/>
      <c r="O120" s="103"/>
      <c r="P120" s="103"/>
      <c r="Q120" s="13"/>
      <c r="R120" s="21"/>
      <c r="T120" s="147"/>
      <c r="U120" s="144"/>
      <c r="V120" s="144"/>
      <c r="W120" s="144"/>
      <c r="X120" s="144"/>
      <c r="Y120" s="132"/>
      <c r="Z120" s="132"/>
      <c r="AA120" s="132"/>
      <c r="AB120" s="132"/>
      <c r="AC120" s="132"/>
      <c r="AD120" s="132"/>
      <c r="AE120" s="132"/>
      <c r="AF120" s="132"/>
      <c r="AG120" s="132"/>
      <c r="AH120" s="132"/>
      <c r="AI120" s="132"/>
      <c r="AJ120" s="132"/>
      <c r="AK120" s="132"/>
      <c r="AL120" s="132"/>
      <c r="AM120" s="133"/>
      <c r="AN120" s="2"/>
      <c r="AO120" s="2"/>
      <c r="AP120" s="2"/>
      <c r="AQ120" s="2"/>
    </row>
    <row r="121" spans="1:43" s="42" customFormat="1" ht="10.5" customHeight="1" x14ac:dyDescent="0.35">
      <c r="A121" s="2"/>
      <c r="B121" s="3"/>
      <c r="C121" s="2"/>
      <c r="D121" s="2"/>
      <c r="E121" s="2"/>
      <c r="F121" s="2"/>
      <c r="G121" s="2"/>
      <c r="H121" s="2"/>
      <c r="I121" s="1"/>
      <c r="J121" s="1"/>
      <c r="K121" s="2"/>
      <c r="L121" s="2"/>
      <c r="M121" s="1"/>
      <c r="N121" s="14" t="s">
        <v>375</v>
      </c>
      <c r="O121" s="13"/>
      <c r="P121" s="13"/>
      <c r="Q121" s="13"/>
      <c r="R121" s="21"/>
      <c r="T121" s="147"/>
      <c r="U121" s="144"/>
      <c r="V121" s="144"/>
      <c r="W121" s="144"/>
      <c r="X121" s="144"/>
      <c r="Y121" s="132"/>
      <c r="Z121" s="132"/>
      <c r="AA121" s="132"/>
      <c r="AB121" s="132"/>
      <c r="AC121" s="132"/>
      <c r="AD121" s="132"/>
      <c r="AE121" s="132"/>
      <c r="AF121" s="132"/>
      <c r="AG121" s="132"/>
      <c r="AH121" s="132"/>
      <c r="AI121" s="132"/>
      <c r="AJ121" s="132"/>
      <c r="AK121" s="132"/>
      <c r="AL121" s="132"/>
      <c r="AM121" s="133"/>
      <c r="AN121" s="2"/>
      <c r="AO121" s="2"/>
      <c r="AP121" s="2"/>
      <c r="AQ121" s="2"/>
    </row>
    <row r="122" spans="1:43" s="42" customFormat="1" ht="10.5" customHeight="1" x14ac:dyDescent="0.35">
      <c r="A122" s="2"/>
      <c r="B122" s="3"/>
      <c r="C122" s="2"/>
      <c r="D122" s="2"/>
      <c r="E122" s="2"/>
      <c r="F122" s="2"/>
      <c r="G122" s="2"/>
      <c r="H122" s="2"/>
      <c r="I122" s="1"/>
      <c r="J122" s="1"/>
      <c r="K122" s="2"/>
      <c r="L122" s="2"/>
      <c r="M122" s="1"/>
      <c r="N122" s="20"/>
      <c r="O122" s="13"/>
      <c r="P122" s="13"/>
      <c r="Q122" s="13"/>
      <c r="R122" s="21"/>
      <c r="T122" s="147"/>
      <c r="U122" s="144"/>
      <c r="V122" s="144"/>
      <c r="W122" s="144"/>
      <c r="X122" s="144"/>
      <c r="Y122" s="132"/>
      <c r="Z122" s="132"/>
      <c r="AA122" s="132"/>
      <c r="AB122" s="132"/>
      <c r="AC122" s="132"/>
      <c r="AD122" s="132"/>
      <c r="AE122" s="132"/>
      <c r="AF122" s="132"/>
      <c r="AG122" s="132"/>
      <c r="AH122" s="132"/>
      <c r="AI122" s="132"/>
      <c r="AJ122" s="132"/>
      <c r="AK122" s="132"/>
      <c r="AL122" s="132"/>
      <c r="AM122" s="133"/>
      <c r="AN122" s="2"/>
      <c r="AO122" s="2"/>
      <c r="AP122" s="2"/>
      <c r="AQ122" s="2"/>
    </row>
    <row r="123" spans="1:43" s="42" customFormat="1" ht="10.5" customHeight="1" x14ac:dyDescent="0.35">
      <c r="A123" s="2"/>
      <c r="B123" s="3"/>
      <c r="C123" s="2"/>
      <c r="D123" s="2"/>
      <c r="E123" s="2"/>
      <c r="F123" s="2"/>
      <c r="G123" s="2"/>
      <c r="H123" s="2"/>
      <c r="I123" s="1"/>
      <c r="J123" s="1"/>
      <c r="K123" s="2"/>
      <c r="L123" s="2"/>
      <c r="M123" s="1"/>
      <c r="N123" s="20"/>
      <c r="O123" s="13"/>
      <c r="P123" s="13"/>
      <c r="Q123" s="13"/>
      <c r="R123" s="21"/>
      <c r="T123" s="147"/>
      <c r="U123" s="144"/>
      <c r="V123" s="144"/>
      <c r="W123" s="144"/>
      <c r="X123" s="144"/>
      <c r="Y123" s="132"/>
      <c r="Z123" s="132"/>
      <c r="AA123" s="132"/>
      <c r="AB123" s="132"/>
      <c r="AC123" s="132"/>
      <c r="AD123" s="132"/>
      <c r="AE123" s="132"/>
      <c r="AF123" s="132"/>
      <c r="AG123" s="132"/>
      <c r="AH123" s="132"/>
      <c r="AI123" s="132"/>
      <c r="AJ123" s="132"/>
      <c r="AK123" s="132"/>
      <c r="AL123" s="132"/>
      <c r="AM123" s="133"/>
      <c r="AN123" s="2"/>
      <c r="AO123" s="2"/>
      <c r="AP123" s="2"/>
      <c r="AQ123" s="2"/>
    </row>
    <row r="124" spans="1:43" s="42" customFormat="1" ht="10.5" customHeight="1" x14ac:dyDescent="0.35">
      <c r="A124" s="2"/>
      <c r="B124" s="3"/>
      <c r="C124" s="2"/>
      <c r="D124" s="2"/>
      <c r="E124" s="2"/>
      <c r="F124" s="2"/>
      <c r="G124" s="2"/>
      <c r="H124" s="2"/>
      <c r="I124" s="1"/>
      <c r="J124" s="1"/>
      <c r="K124" s="2"/>
      <c r="L124" s="2"/>
      <c r="M124" s="1"/>
      <c r="N124" s="20"/>
      <c r="O124" s="13"/>
      <c r="P124" s="13"/>
      <c r="Q124" s="13"/>
      <c r="R124" s="21"/>
      <c r="T124" s="147"/>
      <c r="U124" s="144"/>
      <c r="V124" s="144"/>
      <c r="W124" s="144"/>
      <c r="X124" s="144"/>
      <c r="Y124" s="132"/>
      <c r="Z124" s="132"/>
      <c r="AA124" s="132"/>
      <c r="AB124" s="132"/>
      <c r="AC124" s="132"/>
      <c r="AD124" s="132"/>
      <c r="AE124" s="132"/>
      <c r="AF124" s="132"/>
      <c r="AG124" s="132"/>
      <c r="AH124" s="132"/>
      <c r="AI124" s="132"/>
      <c r="AJ124" s="132"/>
      <c r="AK124" s="132"/>
      <c r="AL124" s="132"/>
      <c r="AM124" s="133"/>
      <c r="AN124" s="2"/>
      <c r="AO124" s="2"/>
      <c r="AP124" s="2"/>
      <c r="AQ124" s="2"/>
    </row>
    <row r="125" spans="1:43" s="42" customFormat="1" ht="10.5" customHeight="1" x14ac:dyDescent="0.35">
      <c r="A125" s="2"/>
      <c r="B125" s="3"/>
      <c r="C125" s="2"/>
      <c r="D125" s="2"/>
      <c r="E125" s="2"/>
      <c r="F125" s="2"/>
      <c r="G125" s="2"/>
      <c r="H125" s="2"/>
      <c r="I125" s="1"/>
      <c r="J125" s="1"/>
      <c r="K125" s="2"/>
      <c r="L125" s="2"/>
      <c r="M125" s="1"/>
      <c r="N125" s="20"/>
      <c r="O125" s="13"/>
      <c r="P125" s="13"/>
      <c r="Q125" s="13"/>
      <c r="R125" s="21"/>
      <c r="T125" s="147"/>
      <c r="U125" s="144"/>
      <c r="V125" s="144"/>
      <c r="W125" s="144"/>
      <c r="X125" s="144"/>
      <c r="Y125" s="132"/>
      <c r="Z125" s="132"/>
      <c r="AA125" s="132"/>
      <c r="AB125" s="132"/>
      <c r="AC125" s="132"/>
      <c r="AD125" s="132"/>
      <c r="AE125" s="132"/>
      <c r="AF125" s="132"/>
      <c r="AG125" s="132"/>
      <c r="AH125" s="132"/>
      <c r="AI125" s="132"/>
      <c r="AJ125" s="132"/>
      <c r="AK125" s="132"/>
      <c r="AL125" s="132"/>
      <c r="AM125" s="133"/>
      <c r="AN125" s="2"/>
      <c r="AO125" s="2"/>
      <c r="AP125" s="2"/>
      <c r="AQ125" s="2"/>
    </row>
    <row r="126" spans="1:43" s="42" customFormat="1" ht="10.5" customHeight="1" x14ac:dyDescent="0.35">
      <c r="A126" s="2"/>
      <c r="B126" s="3"/>
      <c r="C126" s="2"/>
      <c r="D126" s="2"/>
      <c r="E126" s="2"/>
      <c r="F126" s="2"/>
      <c r="G126" s="2"/>
      <c r="H126" s="2"/>
      <c r="I126" s="1"/>
      <c r="J126" s="1"/>
      <c r="K126" s="2"/>
      <c r="L126" s="2"/>
      <c r="M126" s="1"/>
      <c r="N126" s="20"/>
      <c r="O126" s="13"/>
      <c r="P126" s="13"/>
      <c r="Q126" s="13"/>
      <c r="R126" s="21"/>
      <c r="T126" s="147"/>
      <c r="U126" s="144"/>
      <c r="V126" s="144"/>
      <c r="W126" s="144"/>
      <c r="X126" s="144"/>
      <c r="Y126" s="132"/>
      <c r="Z126" s="132"/>
      <c r="AA126" s="132"/>
      <c r="AB126" s="132"/>
      <c r="AC126" s="132"/>
      <c r="AD126" s="132"/>
      <c r="AE126" s="132"/>
      <c r="AF126" s="132"/>
      <c r="AG126" s="132"/>
      <c r="AH126" s="132"/>
      <c r="AI126" s="132"/>
      <c r="AJ126" s="132"/>
      <c r="AK126" s="132"/>
      <c r="AL126" s="132"/>
      <c r="AM126" s="133"/>
      <c r="AN126" s="2"/>
      <c r="AO126" s="2"/>
      <c r="AP126" s="2"/>
      <c r="AQ126" s="2"/>
    </row>
    <row r="127" spans="1:43" s="42" customFormat="1" ht="10.5" customHeight="1" x14ac:dyDescent="0.35">
      <c r="A127" s="2"/>
      <c r="B127" s="3"/>
      <c r="C127" s="2"/>
      <c r="D127" s="2"/>
      <c r="E127" s="2"/>
      <c r="F127" s="2"/>
      <c r="G127" s="2"/>
      <c r="H127" s="2"/>
      <c r="I127" s="1"/>
      <c r="J127" s="1"/>
      <c r="K127" s="2"/>
      <c r="L127" s="2"/>
      <c r="M127" s="1"/>
      <c r="N127" s="20"/>
      <c r="O127" s="13"/>
      <c r="P127" s="13"/>
      <c r="Q127" s="13"/>
      <c r="R127" s="21"/>
      <c r="T127" s="147"/>
      <c r="U127" s="144"/>
      <c r="V127" s="144"/>
      <c r="W127" s="144"/>
      <c r="X127" s="144"/>
      <c r="Y127" s="132"/>
      <c r="Z127" s="132"/>
      <c r="AA127" s="132"/>
      <c r="AB127" s="132"/>
      <c r="AC127" s="132"/>
      <c r="AD127" s="132"/>
      <c r="AE127" s="132"/>
      <c r="AF127" s="132"/>
      <c r="AG127" s="132"/>
      <c r="AH127" s="132"/>
      <c r="AI127" s="132"/>
      <c r="AJ127" s="132"/>
      <c r="AK127" s="132"/>
      <c r="AL127" s="132"/>
      <c r="AM127" s="133"/>
      <c r="AN127" s="2"/>
      <c r="AO127" s="2"/>
      <c r="AP127" s="2"/>
      <c r="AQ127" s="2"/>
    </row>
    <row r="128" spans="1:43" s="42" customFormat="1" ht="10.5" customHeight="1" x14ac:dyDescent="0.35">
      <c r="A128" s="2"/>
      <c r="B128" s="3"/>
      <c r="C128" s="2"/>
      <c r="D128" s="2"/>
      <c r="E128" s="2"/>
      <c r="F128" s="2"/>
      <c r="G128" s="2"/>
      <c r="H128" s="2"/>
      <c r="I128" s="1"/>
      <c r="J128" s="1"/>
      <c r="K128" s="2"/>
      <c r="L128" s="2"/>
      <c r="M128" s="1"/>
      <c r="N128" s="20"/>
      <c r="O128" s="13"/>
      <c r="P128" s="13"/>
      <c r="Q128" s="13"/>
      <c r="R128" s="21"/>
      <c r="T128" s="147"/>
      <c r="U128" s="144"/>
      <c r="V128" s="144"/>
      <c r="W128" s="144"/>
      <c r="X128" s="144"/>
      <c r="Y128" s="132"/>
      <c r="Z128" s="132"/>
      <c r="AA128" s="132"/>
      <c r="AB128" s="132"/>
      <c r="AC128" s="132"/>
      <c r="AD128" s="132"/>
      <c r="AE128" s="132"/>
      <c r="AF128" s="132"/>
      <c r="AG128" s="132"/>
      <c r="AH128" s="132"/>
      <c r="AI128" s="132"/>
      <c r="AJ128" s="132"/>
      <c r="AK128" s="132"/>
      <c r="AL128" s="132"/>
      <c r="AM128" s="133"/>
      <c r="AN128" s="2"/>
      <c r="AO128" s="2"/>
      <c r="AP128" s="2"/>
      <c r="AQ128" s="2"/>
    </row>
    <row r="129" spans="1:43" s="42" customFormat="1" ht="10.5" customHeight="1" x14ac:dyDescent="0.35">
      <c r="A129" s="2"/>
      <c r="B129" s="3"/>
      <c r="C129" s="2"/>
      <c r="D129" s="2"/>
      <c r="E129" s="2"/>
      <c r="F129" s="2"/>
      <c r="G129" s="2"/>
      <c r="H129" s="2"/>
      <c r="I129" s="1"/>
      <c r="J129" s="1"/>
      <c r="K129" s="2"/>
      <c r="L129" s="2"/>
      <c r="M129" s="1"/>
      <c r="N129" s="20"/>
      <c r="O129" s="13"/>
      <c r="P129" s="13"/>
      <c r="Q129" s="13"/>
      <c r="R129" s="21"/>
      <c r="T129" s="147"/>
      <c r="U129" s="144"/>
      <c r="V129" s="144"/>
      <c r="W129" s="144"/>
      <c r="X129" s="144"/>
      <c r="Y129" s="132"/>
      <c r="Z129" s="132"/>
      <c r="AA129" s="132"/>
      <c r="AB129" s="132"/>
      <c r="AC129" s="132"/>
      <c r="AD129" s="132"/>
      <c r="AE129" s="132"/>
      <c r="AF129" s="132"/>
      <c r="AG129" s="132"/>
      <c r="AH129" s="132"/>
      <c r="AI129" s="132"/>
      <c r="AJ129" s="132"/>
      <c r="AK129" s="132"/>
      <c r="AL129" s="132"/>
      <c r="AM129" s="133"/>
      <c r="AN129" s="2"/>
      <c r="AO129" s="2"/>
      <c r="AP129" s="2"/>
      <c r="AQ129" s="2"/>
    </row>
    <row r="130" spans="1:43" s="42" customFormat="1" ht="10.5" customHeight="1" x14ac:dyDescent="0.35">
      <c r="A130" s="2"/>
      <c r="B130" s="3"/>
      <c r="C130" s="2"/>
      <c r="D130" s="2"/>
      <c r="E130" s="2"/>
      <c r="F130" s="2"/>
      <c r="G130" s="2"/>
      <c r="H130" s="2"/>
      <c r="I130" s="1"/>
      <c r="J130" s="1"/>
      <c r="K130" s="2"/>
      <c r="L130" s="2"/>
      <c r="M130" s="1"/>
      <c r="N130" s="20"/>
      <c r="O130" s="13"/>
      <c r="P130" s="13"/>
      <c r="Q130" s="13"/>
      <c r="R130" s="21"/>
      <c r="T130" s="147"/>
      <c r="U130" s="144"/>
      <c r="V130" s="144"/>
      <c r="W130" s="144"/>
      <c r="X130" s="144"/>
      <c r="Y130" s="132"/>
      <c r="Z130" s="132"/>
      <c r="AA130" s="132"/>
      <c r="AB130" s="132"/>
      <c r="AC130" s="132"/>
      <c r="AD130" s="132"/>
      <c r="AE130" s="132"/>
      <c r="AF130" s="132"/>
      <c r="AG130" s="132"/>
      <c r="AH130" s="132"/>
      <c r="AI130" s="132"/>
      <c r="AJ130" s="132"/>
      <c r="AK130" s="132"/>
      <c r="AL130" s="132"/>
      <c r="AM130" s="133"/>
      <c r="AN130" s="2"/>
      <c r="AO130" s="2"/>
      <c r="AP130" s="2"/>
      <c r="AQ130" s="2"/>
    </row>
    <row r="131" spans="1:43" s="42" customFormat="1" ht="10.5" customHeight="1" x14ac:dyDescent="0.35">
      <c r="A131" s="2"/>
      <c r="B131" s="3"/>
      <c r="C131" s="2"/>
      <c r="D131" s="2"/>
      <c r="E131" s="2"/>
      <c r="F131" s="2"/>
      <c r="G131" s="2"/>
      <c r="H131" s="2"/>
      <c r="I131" s="1"/>
      <c r="J131" s="1"/>
      <c r="K131" s="2"/>
      <c r="L131" s="2"/>
      <c r="M131" s="1"/>
      <c r="N131" s="14" t="s">
        <v>377</v>
      </c>
      <c r="O131" s="103"/>
      <c r="P131" s="103"/>
      <c r="Q131" s="13"/>
      <c r="R131" s="21"/>
      <c r="T131" s="147"/>
      <c r="U131" s="144"/>
      <c r="V131" s="144"/>
      <c r="W131" s="144"/>
      <c r="X131" s="144"/>
      <c r="Y131" s="132"/>
      <c r="Z131" s="132"/>
      <c r="AA131" s="132"/>
      <c r="AB131" s="132"/>
      <c r="AC131" s="132"/>
      <c r="AD131" s="132"/>
      <c r="AE131" s="132"/>
      <c r="AF131" s="132"/>
      <c r="AG131" s="132"/>
      <c r="AH131" s="132"/>
      <c r="AI131" s="132"/>
      <c r="AJ131" s="132"/>
      <c r="AK131" s="132"/>
      <c r="AL131" s="132"/>
      <c r="AM131" s="133"/>
      <c r="AN131" s="2"/>
      <c r="AO131" s="2"/>
      <c r="AP131" s="2"/>
      <c r="AQ131" s="2"/>
    </row>
    <row r="132" spans="1:43" ht="10.5" customHeight="1" x14ac:dyDescent="0.35">
      <c r="N132" s="79"/>
      <c r="O132" s="103"/>
      <c r="P132" s="103"/>
      <c r="Q132" s="13"/>
      <c r="R132" s="21"/>
      <c r="T132" s="147"/>
      <c r="U132" s="144"/>
      <c r="V132" s="144"/>
      <c r="W132" s="144"/>
      <c r="X132" s="144"/>
      <c r="Y132" s="132"/>
      <c r="Z132" s="132"/>
      <c r="AA132" s="132"/>
      <c r="AB132" s="132"/>
      <c r="AC132" s="132"/>
      <c r="AD132" s="132"/>
      <c r="AE132" s="132"/>
      <c r="AF132" s="132"/>
      <c r="AG132" s="132"/>
      <c r="AH132" s="132"/>
      <c r="AI132" s="132"/>
      <c r="AJ132" s="132"/>
      <c r="AK132" s="132"/>
      <c r="AL132" s="132"/>
      <c r="AM132" s="133"/>
    </row>
    <row r="133" spans="1:43" ht="10.5" customHeight="1" x14ac:dyDescent="0.35">
      <c r="N133" s="79"/>
      <c r="O133" s="103"/>
      <c r="P133" s="103"/>
      <c r="Q133" s="13"/>
      <c r="R133" s="21"/>
      <c r="T133" s="147"/>
      <c r="U133" s="144"/>
      <c r="V133" s="144"/>
      <c r="W133" s="144"/>
      <c r="X133" s="144"/>
      <c r="Y133" s="132"/>
      <c r="Z133" s="132"/>
      <c r="AA133" s="132"/>
      <c r="AB133" s="132"/>
      <c r="AC133" s="132"/>
      <c r="AD133" s="132"/>
      <c r="AE133" s="132"/>
      <c r="AF133" s="132"/>
      <c r="AG133" s="132"/>
      <c r="AH133" s="132"/>
      <c r="AI133" s="132"/>
      <c r="AJ133" s="132"/>
      <c r="AK133" s="132"/>
      <c r="AL133" s="132"/>
      <c r="AM133" s="133"/>
    </row>
    <row r="134" spans="1:43" ht="10.5" customHeight="1" x14ac:dyDescent="0.35">
      <c r="N134" s="79"/>
      <c r="O134" s="103"/>
      <c r="P134" s="103"/>
      <c r="Q134" s="13"/>
      <c r="R134" s="21"/>
      <c r="T134" s="147"/>
      <c r="U134" s="144"/>
      <c r="V134" s="144"/>
      <c r="W134" s="144"/>
      <c r="X134" s="144"/>
      <c r="Y134" s="132"/>
      <c r="Z134" s="132"/>
      <c r="AA134" s="132"/>
      <c r="AB134" s="132"/>
      <c r="AC134" s="132"/>
      <c r="AD134" s="132"/>
      <c r="AE134" s="132"/>
      <c r="AF134" s="132"/>
      <c r="AG134" s="132"/>
      <c r="AH134" s="132"/>
      <c r="AI134" s="132"/>
      <c r="AJ134" s="132"/>
      <c r="AK134" s="132"/>
      <c r="AL134" s="132"/>
      <c r="AM134" s="133"/>
    </row>
    <row r="135" spans="1:43" ht="10.5" customHeight="1" x14ac:dyDescent="0.35">
      <c r="N135" s="79"/>
      <c r="O135" s="103"/>
      <c r="P135" s="103"/>
      <c r="Q135" s="13"/>
      <c r="R135" s="21"/>
      <c r="T135" s="147"/>
      <c r="U135" s="144"/>
      <c r="V135" s="144"/>
      <c r="W135" s="144"/>
      <c r="X135" s="144"/>
      <c r="Y135" s="132"/>
      <c r="Z135" s="132"/>
      <c r="AA135" s="132"/>
      <c r="AB135" s="132"/>
      <c r="AC135" s="132"/>
      <c r="AD135" s="132"/>
      <c r="AE135" s="132"/>
      <c r="AF135" s="132"/>
      <c r="AG135" s="132"/>
      <c r="AH135" s="132"/>
      <c r="AI135" s="132"/>
      <c r="AJ135" s="132"/>
      <c r="AK135" s="132"/>
      <c r="AL135" s="132"/>
      <c r="AM135" s="133"/>
    </row>
    <row r="136" spans="1:43" ht="10.5" customHeight="1" x14ac:dyDescent="0.35">
      <c r="N136" s="79"/>
      <c r="O136" s="103"/>
      <c r="P136" s="103"/>
      <c r="Q136" s="13"/>
      <c r="R136" s="21"/>
      <c r="T136" s="147"/>
      <c r="U136" s="144"/>
      <c r="V136" s="144"/>
      <c r="W136" s="144"/>
      <c r="X136" s="144"/>
      <c r="Y136" s="132"/>
      <c r="Z136" s="132"/>
      <c r="AA136" s="132"/>
      <c r="AB136" s="132"/>
      <c r="AC136" s="132"/>
      <c r="AD136" s="132"/>
      <c r="AE136" s="132"/>
      <c r="AF136" s="132"/>
      <c r="AG136" s="132"/>
      <c r="AH136" s="132"/>
      <c r="AI136" s="132"/>
      <c r="AJ136" s="132"/>
      <c r="AK136" s="132"/>
      <c r="AL136" s="132"/>
      <c r="AM136" s="133"/>
    </row>
    <row r="137" spans="1:43" ht="10.5" customHeight="1" x14ac:dyDescent="0.35">
      <c r="N137" s="79"/>
      <c r="O137" s="103"/>
      <c r="P137" s="103"/>
      <c r="Q137" s="13"/>
      <c r="R137" s="21"/>
      <c r="T137" s="147"/>
      <c r="U137" s="144"/>
      <c r="V137" s="144"/>
      <c r="W137" s="144"/>
      <c r="X137" s="144"/>
      <c r="Y137" s="132"/>
      <c r="Z137" s="132"/>
      <c r="AA137" s="132"/>
      <c r="AB137" s="132"/>
      <c r="AC137" s="132"/>
      <c r="AD137" s="132"/>
      <c r="AE137" s="132"/>
      <c r="AF137" s="132"/>
      <c r="AG137" s="132"/>
      <c r="AH137" s="132"/>
      <c r="AI137" s="132"/>
      <c r="AJ137" s="132"/>
      <c r="AK137" s="132"/>
      <c r="AL137" s="132"/>
      <c r="AM137" s="133"/>
    </row>
    <row r="138" spans="1:43" ht="10.5" customHeight="1" x14ac:dyDescent="0.35">
      <c r="N138" s="79"/>
      <c r="O138" s="103"/>
      <c r="P138" s="103"/>
      <c r="Q138" s="13"/>
      <c r="R138" s="21"/>
      <c r="T138" s="147"/>
      <c r="U138" s="144"/>
      <c r="V138" s="144"/>
      <c r="W138" s="144"/>
      <c r="X138" s="144"/>
      <c r="Y138" s="132"/>
      <c r="Z138" s="132"/>
      <c r="AA138" s="132"/>
      <c r="AB138" s="132"/>
      <c r="AC138" s="132"/>
      <c r="AD138" s="132"/>
      <c r="AE138" s="132"/>
      <c r="AF138" s="132"/>
      <c r="AG138" s="132"/>
      <c r="AH138" s="132"/>
      <c r="AI138" s="132"/>
      <c r="AJ138" s="132"/>
      <c r="AK138" s="132"/>
      <c r="AL138" s="132"/>
      <c r="AM138" s="133"/>
    </row>
    <row r="139" spans="1:43" ht="10.5" customHeight="1" x14ac:dyDescent="0.35">
      <c r="N139" s="79"/>
      <c r="O139" s="103"/>
      <c r="P139" s="103"/>
      <c r="Q139" s="13"/>
      <c r="R139" s="21"/>
      <c r="T139" s="147"/>
      <c r="U139" s="144"/>
      <c r="V139" s="144"/>
      <c r="W139" s="144"/>
      <c r="X139" s="144"/>
      <c r="Y139" s="132"/>
      <c r="Z139" s="132"/>
      <c r="AA139" s="132"/>
      <c r="AB139" s="132"/>
      <c r="AC139" s="132"/>
      <c r="AD139" s="132"/>
      <c r="AE139" s="132"/>
      <c r="AF139" s="132"/>
      <c r="AG139" s="132"/>
      <c r="AH139" s="132"/>
      <c r="AI139" s="132"/>
      <c r="AJ139" s="132"/>
      <c r="AK139" s="132"/>
      <c r="AL139" s="132"/>
      <c r="AM139" s="133"/>
    </row>
    <row r="140" spans="1:43" ht="10.5" customHeight="1" x14ac:dyDescent="0.35">
      <c r="N140" s="98"/>
      <c r="O140" s="16"/>
      <c r="P140" s="16"/>
      <c r="Q140" s="16"/>
      <c r="R140" s="22"/>
      <c r="T140" s="147"/>
      <c r="U140" s="144"/>
      <c r="V140" s="144"/>
      <c r="W140" s="144"/>
      <c r="X140" s="144"/>
      <c r="Y140" s="132"/>
      <c r="Z140" s="132"/>
      <c r="AA140" s="132"/>
      <c r="AB140" s="132"/>
      <c r="AC140" s="132"/>
      <c r="AD140" s="132"/>
      <c r="AE140" s="132"/>
      <c r="AF140" s="132"/>
      <c r="AG140" s="132"/>
      <c r="AH140" s="132"/>
      <c r="AI140" s="132"/>
      <c r="AJ140" s="132"/>
      <c r="AK140" s="132"/>
      <c r="AL140" s="132"/>
      <c r="AM140" s="133"/>
    </row>
    <row r="141" spans="1:43" ht="10.5" customHeight="1" x14ac:dyDescent="0.35">
      <c r="T141" s="147"/>
      <c r="U141" s="144"/>
      <c r="V141" s="144"/>
      <c r="W141" s="144"/>
      <c r="X141" s="144"/>
      <c r="Y141" s="132"/>
      <c r="Z141" s="132"/>
      <c r="AA141" s="132"/>
      <c r="AB141" s="132"/>
      <c r="AC141" s="132"/>
      <c r="AD141" s="132"/>
      <c r="AE141" s="132"/>
      <c r="AF141" s="132"/>
      <c r="AG141" s="132"/>
      <c r="AH141" s="132"/>
      <c r="AI141" s="132"/>
      <c r="AJ141" s="132"/>
      <c r="AK141" s="132"/>
      <c r="AL141" s="132"/>
      <c r="AM141" s="133"/>
    </row>
    <row r="142" spans="1:43" ht="10.5" customHeight="1" x14ac:dyDescent="0.35">
      <c r="T142" s="147"/>
      <c r="U142" s="144"/>
      <c r="V142" s="144"/>
      <c r="W142" s="144"/>
      <c r="X142" s="144"/>
      <c r="Y142" s="132"/>
      <c r="Z142" s="132"/>
      <c r="AA142" s="132"/>
      <c r="AB142" s="132"/>
      <c r="AC142" s="132"/>
      <c r="AD142" s="132"/>
      <c r="AE142" s="132"/>
      <c r="AF142" s="132"/>
      <c r="AG142" s="132"/>
      <c r="AH142" s="132"/>
      <c r="AI142" s="132"/>
      <c r="AJ142" s="132"/>
      <c r="AK142" s="132"/>
      <c r="AL142" s="132"/>
      <c r="AM142" s="133"/>
    </row>
    <row r="143" spans="1:43" ht="10.5" customHeight="1" x14ac:dyDescent="0.35">
      <c r="T143" s="147"/>
      <c r="U143" s="144"/>
      <c r="V143" s="144"/>
      <c r="W143" s="144"/>
      <c r="X143" s="144"/>
      <c r="Y143" s="132"/>
      <c r="Z143" s="132"/>
      <c r="AA143" s="132"/>
      <c r="AB143" s="132"/>
      <c r="AC143" s="132"/>
      <c r="AD143" s="132"/>
      <c r="AE143" s="132"/>
      <c r="AF143" s="132"/>
      <c r="AG143" s="132"/>
      <c r="AH143" s="132"/>
      <c r="AI143" s="132"/>
      <c r="AJ143" s="132"/>
      <c r="AK143" s="132"/>
      <c r="AL143" s="132"/>
      <c r="AM143" s="133"/>
    </row>
    <row r="144" spans="1:43" ht="10.5" customHeight="1" x14ac:dyDescent="0.35">
      <c r="T144" s="147"/>
      <c r="U144" s="144"/>
      <c r="V144" s="144"/>
      <c r="W144" s="144"/>
      <c r="X144" s="144"/>
      <c r="Y144" s="132"/>
      <c r="Z144" s="132"/>
      <c r="AA144" s="132"/>
      <c r="AB144" s="132"/>
      <c r="AC144" s="132"/>
      <c r="AD144" s="132"/>
      <c r="AE144" s="132"/>
      <c r="AF144" s="132"/>
      <c r="AG144" s="132"/>
      <c r="AH144" s="132"/>
      <c r="AI144" s="132"/>
      <c r="AJ144" s="132"/>
      <c r="AK144" s="132"/>
      <c r="AL144" s="132"/>
      <c r="AM144" s="133"/>
    </row>
    <row r="145" spans="20:39" ht="10.5" customHeight="1" x14ac:dyDescent="0.35">
      <c r="T145" s="147"/>
      <c r="U145" s="144"/>
      <c r="V145" s="144"/>
      <c r="W145" s="144"/>
      <c r="X145" s="144"/>
      <c r="Y145" s="132"/>
      <c r="Z145" s="132"/>
      <c r="AA145" s="132"/>
      <c r="AB145" s="132"/>
      <c r="AC145" s="132"/>
      <c r="AD145" s="132"/>
      <c r="AE145" s="132"/>
      <c r="AF145" s="132"/>
      <c r="AG145" s="132"/>
      <c r="AH145" s="132"/>
      <c r="AI145" s="132"/>
      <c r="AJ145" s="132"/>
      <c r="AK145" s="132"/>
      <c r="AL145" s="132"/>
      <c r="AM145" s="133"/>
    </row>
    <row r="146" spans="20:39" ht="10.5" customHeight="1" x14ac:dyDescent="0.35">
      <c r="T146" s="147"/>
      <c r="U146" s="144"/>
      <c r="V146" s="144"/>
      <c r="W146" s="144"/>
      <c r="X146" s="144"/>
      <c r="Y146" s="132"/>
      <c r="Z146" s="132"/>
      <c r="AA146" s="132"/>
      <c r="AB146" s="132"/>
      <c r="AC146" s="132"/>
      <c r="AD146" s="132"/>
      <c r="AE146" s="132"/>
      <c r="AF146" s="132"/>
      <c r="AG146" s="132"/>
      <c r="AH146" s="132"/>
      <c r="AI146" s="132"/>
      <c r="AJ146" s="132"/>
      <c r="AK146" s="132"/>
      <c r="AL146" s="132"/>
      <c r="AM146" s="133"/>
    </row>
    <row r="147" spans="20:39" ht="10.5" customHeight="1" x14ac:dyDescent="0.35">
      <c r="T147" s="147"/>
      <c r="U147" s="144"/>
      <c r="V147" s="144"/>
      <c r="W147" s="144"/>
      <c r="X147" s="144"/>
      <c r="Y147" s="132"/>
      <c r="Z147" s="132"/>
      <c r="AA147" s="132"/>
      <c r="AB147" s="132"/>
      <c r="AC147" s="132"/>
      <c r="AD147" s="132"/>
      <c r="AE147" s="132"/>
      <c r="AF147" s="132"/>
      <c r="AG147" s="132"/>
      <c r="AH147" s="132"/>
      <c r="AI147" s="132"/>
      <c r="AJ147" s="132"/>
      <c r="AK147" s="132"/>
      <c r="AL147" s="132"/>
      <c r="AM147" s="133"/>
    </row>
    <row r="148" spans="20:39" ht="10.5" customHeight="1" x14ac:dyDescent="0.35">
      <c r="T148" s="147"/>
      <c r="U148" s="144"/>
      <c r="V148" s="144"/>
      <c r="W148" s="144"/>
      <c r="X148" s="144"/>
      <c r="Y148" s="132"/>
      <c r="Z148" s="132"/>
      <c r="AA148" s="132"/>
      <c r="AB148" s="132"/>
      <c r="AC148" s="132"/>
      <c r="AD148" s="132"/>
      <c r="AE148" s="132"/>
      <c r="AF148" s="132"/>
      <c r="AG148" s="132"/>
      <c r="AH148" s="132"/>
      <c r="AI148" s="132"/>
      <c r="AJ148" s="132"/>
      <c r="AK148" s="132"/>
      <c r="AL148" s="132"/>
      <c r="AM148" s="133"/>
    </row>
    <row r="149" spans="20:39" ht="10.5" customHeight="1" x14ac:dyDescent="0.35">
      <c r="T149" s="147"/>
      <c r="U149" s="144"/>
      <c r="V149" s="144"/>
      <c r="W149" s="144"/>
      <c r="X149" s="144"/>
      <c r="Y149" s="132"/>
      <c r="Z149" s="132"/>
      <c r="AA149" s="132"/>
      <c r="AB149" s="132"/>
      <c r="AC149" s="132"/>
      <c r="AD149" s="132"/>
      <c r="AE149" s="132"/>
      <c r="AF149" s="132"/>
      <c r="AG149" s="132"/>
      <c r="AH149" s="132"/>
      <c r="AI149" s="132"/>
      <c r="AJ149" s="132"/>
      <c r="AK149" s="132"/>
      <c r="AL149" s="132"/>
      <c r="AM149" s="133"/>
    </row>
    <row r="150" spans="20:39" ht="10.5" customHeight="1" x14ac:dyDescent="0.35">
      <c r="T150" s="147"/>
      <c r="U150" s="144"/>
      <c r="V150" s="144"/>
      <c r="W150" s="144"/>
      <c r="X150" s="144"/>
      <c r="Y150" s="132"/>
      <c r="Z150" s="132"/>
      <c r="AA150" s="132"/>
      <c r="AB150" s="132"/>
      <c r="AC150" s="132"/>
      <c r="AD150" s="132"/>
      <c r="AE150" s="132"/>
      <c r="AF150" s="132"/>
      <c r="AG150" s="132"/>
      <c r="AH150" s="132"/>
      <c r="AI150" s="132"/>
      <c r="AJ150" s="132"/>
      <c r="AK150" s="132"/>
      <c r="AL150" s="132"/>
      <c r="AM150" s="133"/>
    </row>
    <row r="151" spans="20:39" ht="10.5" customHeight="1" x14ac:dyDescent="0.35">
      <c r="T151" s="147"/>
      <c r="U151" s="144"/>
      <c r="V151" s="144"/>
      <c r="W151" s="144"/>
      <c r="X151" s="144"/>
      <c r="Y151" s="132"/>
      <c r="Z151" s="132"/>
      <c r="AA151" s="132"/>
      <c r="AB151" s="132"/>
      <c r="AC151" s="132"/>
      <c r="AD151" s="132"/>
      <c r="AE151" s="132"/>
      <c r="AF151" s="132"/>
      <c r="AG151" s="132"/>
      <c r="AH151" s="132"/>
      <c r="AI151" s="132"/>
      <c r="AJ151" s="132"/>
      <c r="AK151" s="132"/>
      <c r="AL151" s="132"/>
      <c r="AM151" s="133"/>
    </row>
    <row r="152" spans="20:39" ht="10.5" customHeight="1" x14ac:dyDescent="0.35">
      <c r="T152" s="147"/>
      <c r="U152" s="144"/>
      <c r="V152" s="144"/>
      <c r="W152" s="144"/>
      <c r="X152" s="144"/>
      <c r="Y152" s="132"/>
      <c r="Z152" s="132"/>
      <c r="AA152" s="132"/>
      <c r="AB152" s="132"/>
      <c r="AC152" s="132"/>
      <c r="AD152" s="132"/>
      <c r="AE152" s="132"/>
      <c r="AF152" s="132"/>
      <c r="AG152" s="132"/>
      <c r="AH152" s="132"/>
      <c r="AI152" s="132"/>
      <c r="AJ152" s="132"/>
      <c r="AK152" s="132"/>
      <c r="AL152" s="132"/>
      <c r="AM152" s="133"/>
    </row>
    <row r="153" spans="20:39" ht="10.5" customHeight="1" x14ac:dyDescent="0.35">
      <c r="T153" s="147"/>
      <c r="U153" s="144"/>
      <c r="V153" s="144"/>
      <c r="W153" s="144"/>
      <c r="X153" s="144"/>
      <c r="Y153" s="132"/>
      <c r="Z153" s="132"/>
      <c r="AA153" s="132"/>
      <c r="AB153" s="132"/>
      <c r="AC153" s="132"/>
      <c r="AD153" s="132"/>
      <c r="AE153" s="132"/>
      <c r="AF153" s="132"/>
      <c r="AG153" s="132"/>
      <c r="AH153" s="132"/>
      <c r="AI153" s="132"/>
      <c r="AJ153" s="132"/>
      <c r="AK153" s="132"/>
      <c r="AL153" s="132"/>
      <c r="AM153" s="133"/>
    </row>
    <row r="154" spans="20:39" ht="10.5" customHeight="1" x14ac:dyDescent="0.35">
      <c r="T154" s="147"/>
      <c r="U154" s="144"/>
      <c r="V154" s="144"/>
      <c r="W154" s="144"/>
      <c r="X154" s="144"/>
      <c r="Y154" s="132"/>
      <c r="Z154" s="132"/>
      <c r="AA154" s="132"/>
      <c r="AB154" s="132"/>
      <c r="AC154" s="132"/>
      <c r="AD154" s="132"/>
      <c r="AE154" s="132"/>
      <c r="AF154" s="132"/>
      <c r="AG154" s="132"/>
      <c r="AH154" s="132"/>
      <c r="AI154" s="132"/>
      <c r="AJ154" s="132"/>
      <c r="AK154" s="132"/>
      <c r="AL154" s="132"/>
      <c r="AM154" s="133"/>
    </row>
    <row r="155" spans="20:39" ht="10.5" customHeight="1" x14ac:dyDescent="0.35">
      <c r="T155" s="147"/>
      <c r="U155" s="144"/>
      <c r="V155" s="144"/>
      <c r="W155" s="144"/>
      <c r="X155" s="144"/>
      <c r="Y155" s="132"/>
      <c r="Z155" s="132"/>
      <c r="AA155" s="132"/>
      <c r="AB155" s="132"/>
      <c r="AC155" s="132"/>
      <c r="AD155" s="132"/>
      <c r="AE155" s="132"/>
      <c r="AF155" s="132"/>
      <c r="AG155" s="132"/>
      <c r="AH155" s="132"/>
      <c r="AI155" s="132"/>
      <c r="AJ155" s="132"/>
      <c r="AK155" s="132"/>
      <c r="AL155" s="132"/>
      <c r="AM155" s="133"/>
    </row>
    <row r="156" spans="20:39" ht="10.5" customHeight="1" x14ac:dyDescent="0.35">
      <c r="T156" s="147"/>
      <c r="U156" s="144"/>
      <c r="V156" s="144"/>
      <c r="W156" s="144"/>
      <c r="X156" s="144"/>
      <c r="Y156" s="132"/>
      <c r="Z156" s="132"/>
      <c r="AA156" s="132"/>
      <c r="AB156" s="132"/>
      <c r="AC156" s="132"/>
      <c r="AD156" s="132"/>
      <c r="AE156" s="132"/>
      <c r="AF156" s="132"/>
      <c r="AG156" s="132"/>
      <c r="AH156" s="132"/>
      <c r="AI156" s="132"/>
      <c r="AJ156" s="132"/>
      <c r="AK156" s="132"/>
      <c r="AL156" s="132"/>
      <c r="AM156" s="133"/>
    </row>
    <row r="157" spans="20:39" ht="10.5" customHeight="1" x14ac:dyDescent="0.35">
      <c r="T157" s="147"/>
      <c r="U157" s="144"/>
      <c r="V157" s="144"/>
      <c r="W157" s="144"/>
      <c r="X157" s="144"/>
      <c r="Y157" s="132"/>
      <c r="Z157" s="132"/>
      <c r="AA157" s="132"/>
      <c r="AB157" s="132"/>
      <c r="AC157" s="132"/>
      <c r="AD157" s="132"/>
      <c r="AE157" s="132"/>
      <c r="AF157" s="132"/>
      <c r="AG157" s="132"/>
      <c r="AH157" s="132"/>
      <c r="AI157" s="132"/>
      <c r="AJ157" s="132"/>
      <c r="AK157" s="132"/>
      <c r="AL157" s="132"/>
      <c r="AM157" s="133"/>
    </row>
    <row r="158" spans="20:39" ht="10.5" customHeight="1" x14ac:dyDescent="0.35">
      <c r="T158" s="147"/>
      <c r="U158" s="144"/>
      <c r="V158" s="144"/>
      <c r="W158" s="144"/>
      <c r="X158" s="144"/>
      <c r="Y158" s="132"/>
      <c r="Z158" s="132"/>
      <c r="AA158" s="132"/>
      <c r="AB158" s="132"/>
      <c r="AC158" s="132"/>
      <c r="AD158" s="132"/>
      <c r="AE158" s="132"/>
      <c r="AF158" s="132"/>
      <c r="AG158" s="132"/>
      <c r="AH158" s="132"/>
      <c r="AI158" s="132"/>
      <c r="AJ158" s="132"/>
      <c r="AK158" s="132"/>
      <c r="AL158" s="132"/>
      <c r="AM158" s="133"/>
    </row>
    <row r="159" spans="20:39" ht="10.5" customHeight="1" x14ac:dyDescent="0.35">
      <c r="T159" s="147"/>
      <c r="U159" s="144"/>
      <c r="V159" s="144"/>
      <c r="W159" s="144"/>
      <c r="X159" s="144"/>
      <c r="Y159" s="132"/>
      <c r="Z159" s="132"/>
      <c r="AA159" s="132"/>
      <c r="AB159" s="132"/>
      <c r="AC159" s="132"/>
      <c r="AD159" s="132"/>
      <c r="AE159" s="132"/>
      <c r="AF159" s="132"/>
      <c r="AG159" s="132"/>
      <c r="AH159" s="132"/>
      <c r="AI159" s="132"/>
      <c r="AJ159" s="132"/>
      <c r="AK159" s="132"/>
      <c r="AL159" s="132"/>
      <c r="AM159" s="133"/>
    </row>
    <row r="160" spans="20:39" ht="10.5" customHeight="1" x14ac:dyDescent="0.35">
      <c r="T160" s="147"/>
      <c r="U160" s="144"/>
      <c r="V160" s="144"/>
      <c r="W160" s="144"/>
      <c r="X160" s="144"/>
      <c r="Y160" s="132"/>
      <c r="Z160" s="132"/>
      <c r="AA160" s="132"/>
      <c r="AB160" s="132"/>
      <c r="AC160" s="132"/>
      <c r="AD160" s="132"/>
      <c r="AE160" s="132"/>
      <c r="AF160" s="132"/>
      <c r="AG160" s="132"/>
      <c r="AH160" s="132"/>
      <c r="AI160" s="132"/>
      <c r="AJ160" s="132"/>
      <c r="AK160" s="132"/>
      <c r="AL160" s="132"/>
      <c r="AM160" s="133"/>
    </row>
    <row r="161" spans="20:39" ht="10.5" customHeight="1" x14ac:dyDescent="0.35">
      <c r="T161" s="224"/>
      <c r="U161" s="225"/>
      <c r="V161" s="225"/>
      <c r="W161" s="225"/>
      <c r="X161" s="225"/>
      <c r="Y161" s="142"/>
      <c r="Z161" s="142"/>
      <c r="AA161" s="142"/>
      <c r="AB161" s="142"/>
      <c r="AC161" s="142"/>
      <c r="AD161" s="142"/>
      <c r="AE161" s="142"/>
      <c r="AF161" s="142"/>
      <c r="AG161" s="142"/>
      <c r="AH161" s="142"/>
      <c r="AI161" s="142"/>
      <c r="AJ161" s="142"/>
      <c r="AK161" s="142"/>
      <c r="AL161" s="142"/>
      <c r="AM161" s="143"/>
    </row>
  </sheetData>
  <sheetProtection algorithmName="SHA-512" hashValue="BGlICVFcm9KypW6xNyKMhqMihSCL8cxNFoij5+4QadjHKjfGWV2azle0Ji7cqDoYvyrVOg34uQx5IEy/CoU5Kw==" saltValue="/EIEtwc8LgUK5pP43seDJw==" spinCount="100000" sheet="1" objects="1" scenarios="1"/>
  <mergeCells count="26">
    <mergeCell ref="T2:AF3"/>
    <mergeCell ref="B2:C3"/>
    <mergeCell ref="D2:D3"/>
    <mergeCell ref="E2:E3"/>
    <mergeCell ref="F2:F3"/>
    <mergeCell ref="G2:G3"/>
    <mergeCell ref="H2:H3"/>
    <mergeCell ref="K2:K3"/>
    <mergeCell ref="L2:L3"/>
    <mergeCell ref="N2:P3"/>
    <mergeCell ref="Q2:Q3"/>
    <mergeCell ref="R2:R3"/>
    <mergeCell ref="N4:P4"/>
    <mergeCell ref="T77:AM78"/>
    <mergeCell ref="N5:P5"/>
    <mergeCell ref="N17:R18"/>
    <mergeCell ref="N10:R15"/>
    <mergeCell ref="N116:R117"/>
    <mergeCell ref="B75:H76"/>
    <mergeCell ref="N78:R79"/>
    <mergeCell ref="U5:AE8"/>
    <mergeCell ref="N6:P6"/>
    <mergeCell ref="N8:R9"/>
    <mergeCell ref="B49:C50"/>
    <mergeCell ref="D49:D50"/>
    <mergeCell ref="H49:H50"/>
  </mergeCells>
  <hyperlinks>
    <hyperlink ref="H69" r:id="rId1" xr:uid="{05C34EB6-E66A-42A0-9FD2-37F582F9EE42}"/>
    <hyperlink ref="H70" r:id="rId2" xr:uid="{CFDDF86A-A1F0-4CE4-9E93-A69A15C374A8}"/>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83F0-42EA-4F71-9F84-03AB7DDEE16B}">
  <sheetPr codeName="Tabelle6"/>
  <dimension ref="A1:AK143"/>
  <sheetViews>
    <sheetView workbookViewId="0">
      <selection activeCell="D4" sqref="D4"/>
    </sheetView>
  </sheetViews>
  <sheetFormatPr baseColWidth="10" defaultColWidth="11.3984375" defaultRowHeight="10.5" customHeight="1" x14ac:dyDescent="0.35"/>
  <cols>
    <col min="1" max="1" width="0.86328125" style="2" customWidth="1"/>
    <col min="2" max="2" width="8.6640625" style="3" customWidth="1"/>
    <col min="3" max="3" width="46.59765625" style="2" customWidth="1"/>
    <col min="4" max="6" width="6.19921875" style="2" customWidth="1"/>
    <col min="7" max="7" width="6.6640625" style="2" customWidth="1"/>
    <col min="8" max="8" width="7.59765625" style="2" customWidth="1"/>
    <col min="9" max="10" width="0.86328125" style="1" customWidth="1"/>
    <col min="11" max="12" width="11.3984375" style="2" customWidth="1"/>
    <col min="13" max="13" width="0.86328125" style="1" customWidth="1"/>
    <col min="14" max="18" width="11.3984375" style="2"/>
    <col min="19" max="19" width="0.86328125" style="2" customWidth="1"/>
    <col min="20" max="24" width="11.3984375" style="42"/>
    <col min="25" max="25" width="0.86328125" style="42" customWidth="1"/>
    <col min="26" max="30" width="11.3984375" style="42"/>
    <col min="31" max="16384" width="11.3984375" style="2"/>
  </cols>
  <sheetData>
    <row r="1" spans="1:37" s="42" customFormat="1" ht="10.5" customHeight="1" x14ac:dyDescent="0.35"/>
    <row r="2" spans="1:37" s="42" customFormat="1" ht="10.5" customHeight="1" x14ac:dyDescent="0.35">
      <c r="B2" s="345" t="str">
        <f>VLOOKUP(275,T!A2:'T'!K2000,Order!B31+1)</f>
        <v>Excel-based applications are now only offered unprotected because they have been cracked. However, they can be installed on multiple computers.</v>
      </c>
      <c r="C2" s="346"/>
      <c r="D2" s="320" t="str">
        <f>VLOOKUP(22,T!A2:'T'!K2000,Order!B31+1)</f>
        <v>Full</v>
      </c>
      <c r="E2" s="320" t="str">
        <f>VLOOKUP(23,T!A2:'T'!K2000,Order!B31+1)</f>
        <v>Update</v>
      </c>
      <c r="F2" s="320" t="str">
        <f>VLOOKUP(24,T!A2:'T'!K2000,Order!B31+1)</f>
        <v>Upgrade</v>
      </c>
      <c r="G2" s="320" t="str">
        <f>VLOOKUP(25,T!A2:'T'!K2000,Order!B31+1)</f>
        <v>Type</v>
      </c>
      <c r="H2" s="321" t="str">
        <f>VLOOKUP(Order!B36,Order!B33:'Order'!D35,2)</f>
        <v>CHF</v>
      </c>
      <c r="K2" s="320" t="str">
        <f>VLOOKUP(26,T!A2:'T'!K2000,Order!B31+1)</f>
        <v>Test</v>
      </c>
      <c r="L2" s="320" t="str">
        <f>VLOOKUP(27,T!A2:'T'!K2000,Order!B31+1)</f>
        <v>Selection</v>
      </c>
      <c r="N2" s="316" t="str">
        <f>VLOOKUP(200,T!A2:'T'!K2000,Order!B31+1)</f>
        <v>Price examples</v>
      </c>
      <c r="O2" s="317"/>
      <c r="P2" s="317"/>
      <c r="Q2" s="320" t="str">
        <f>VLOOKUP(22,T!A2:'T'!K2000,Order!B31+1)</f>
        <v>Full</v>
      </c>
      <c r="R2" s="320" t="str">
        <f>VLOOKUP(25,T!A2:'T'!K2000,Order!B31+1)</f>
        <v>Type</v>
      </c>
      <c r="T2" s="305" t="s">
        <v>296</v>
      </c>
      <c r="U2" s="306"/>
      <c r="V2" s="306"/>
      <c r="W2" s="306"/>
      <c r="X2" s="307"/>
      <c r="Z2" s="139"/>
      <c r="AA2" s="134"/>
      <c r="AB2" s="306" t="s">
        <v>936</v>
      </c>
      <c r="AC2" s="134"/>
      <c r="AD2" s="134"/>
      <c r="AE2" s="134"/>
      <c r="AF2" s="134"/>
      <c r="AG2" s="134"/>
      <c r="AH2" s="134"/>
      <c r="AI2" s="134"/>
      <c r="AJ2" s="134"/>
      <c r="AK2" s="135"/>
    </row>
    <row r="3" spans="1:37" ht="10.5" customHeight="1" x14ac:dyDescent="0.35">
      <c r="A3" s="42"/>
      <c r="B3" s="347"/>
      <c r="C3" s="348"/>
      <c r="D3" s="296"/>
      <c r="E3" s="296"/>
      <c r="F3" s="296"/>
      <c r="G3" s="296"/>
      <c r="H3" s="322"/>
      <c r="I3" s="42"/>
      <c r="J3" s="42"/>
      <c r="K3" s="296"/>
      <c r="L3" s="296"/>
      <c r="M3" s="42"/>
      <c r="N3" s="319"/>
      <c r="O3" s="303"/>
      <c r="P3" s="303"/>
      <c r="Q3" s="296"/>
      <c r="R3" s="296"/>
      <c r="T3" s="308"/>
      <c r="U3" s="309"/>
      <c r="V3" s="309"/>
      <c r="W3" s="309"/>
      <c r="X3" s="310"/>
      <c r="Z3" s="136"/>
      <c r="AA3" s="137"/>
      <c r="AB3" s="309"/>
      <c r="AC3" s="137"/>
      <c r="AD3" s="137"/>
      <c r="AE3" s="137"/>
      <c r="AF3" s="137"/>
      <c r="AG3" s="137"/>
      <c r="AH3" s="137"/>
      <c r="AI3" s="137"/>
      <c r="AJ3" s="137"/>
      <c r="AK3" s="138"/>
    </row>
    <row r="4" spans="1:37" ht="10.5" customHeight="1" x14ac:dyDescent="0.35">
      <c r="B4" s="12" t="s">
        <v>425</v>
      </c>
      <c r="C4" s="21" t="str">
        <f>VLOOKUP(78,T!A2:'T'!K2000,Order!B31+1)</f>
        <v>Plate HE air to air 1x cross flow</v>
      </c>
      <c r="D4" s="33"/>
      <c r="E4" s="33"/>
      <c r="F4" s="33"/>
      <c r="G4" s="26">
        <v>2</v>
      </c>
      <c r="H4" s="69">
        <f>ROUND((Order!AS4*Order!AV4+Order!AT4*Order!AW4+Order!AU4*Order!AX4)*IF(G4&lt;=1,1,IF(G4=2,2,"")),0)</f>
        <v>0</v>
      </c>
      <c r="K4" s="24" t="b">
        <f t="shared" ref="K4:K49" si="0">IF(AND(D4="",E4="",F4=""),FALSE,TRUE)</f>
        <v>0</v>
      </c>
      <c r="L4" s="26">
        <v>2</v>
      </c>
      <c r="M4" s="42"/>
      <c r="N4" s="323" t="str">
        <f>VLOOKUP(194,T!A2:'T'!K2000,Order!B31+1)</f>
        <v>Full version for 1 unprotected application</v>
      </c>
      <c r="O4" s="279"/>
      <c r="P4" s="280"/>
      <c r="Q4" s="75">
        <v>1</v>
      </c>
      <c r="R4" s="74">
        <v>2</v>
      </c>
      <c r="T4" s="99"/>
      <c r="U4" s="105"/>
      <c r="V4" s="105"/>
      <c r="W4" s="105"/>
      <c r="X4" s="106"/>
      <c r="Z4" s="99"/>
      <c r="AA4" s="15"/>
      <c r="AB4" s="15"/>
      <c r="AC4" s="15"/>
      <c r="AD4" s="15"/>
      <c r="AE4" s="15"/>
      <c r="AF4" s="15"/>
      <c r="AG4" s="15"/>
      <c r="AH4" s="15"/>
      <c r="AI4" s="15"/>
      <c r="AJ4" s="15"/>
      <c r="AK4" s="68"/>
    </row>
    <row r="5" spans="1:37" ht="10.5" customHeight="1" x14ac:dyDescent="0.35">
      <c r="B5" s="12"/>
      <c r="C5" s="21" t="str">
        <f>VLOOKUP(79,T!A2:'T'!K2000,Order!B31+1)</f>
        <v>Plate HE air to air 2x cross flow</v>
      </c>
      <c r="D5" s="33"/>
      <c r="E5" s="33"/>
      <c r="F5" s="33"/>
      <c r="G5" s="26">
        <v>2</v>
      </c>
      <c r="H5" s="17">
        <f>ROUND((Order!AS5*Order!AV5+Order!AT5*Order!AW5+Order!AU5*Order!AX5)*IF(G5&lt;=1,1,IF(G5=2,2,"")),0)</f>
        <v>0</v>
      </c>
      <c r="K5" s="24" t="b">
        <f t="shared" si="0"/>
        <v>0</v>
      </c>
      <c r="L5" s="26">
        <v>2</v>
      </c>
      <c r="M5" s="42"/>
      <c r="N5" s="313" t="s">
        <v>971</v>
      </c>
      <c r="O5" s="314"/>
      <c r="P5" s="315"/>
      <c r="Q5" s="176" t="s">
        <v>971</v>
      </c>
      <c r="R5" s="176" t="s">
        <v>971</v>
      </c>
      <c r="T5" s="20"/>
      <c r="U5" s="107"/>
      <c r="V5" s="13"/>
      <c r="W5" s="107"/>
      <c r="X5" s="21"/>
      <c r="Z5" s="20"/>
      <c r="AA5" s="13"/>
      <c r="AB5" s="13"/>
      <c r="AC5" s="13"/>
      <c r="AD5" s="13"/>
      <c r="AE5" s="13"/>
      <c r="AF5" s="13"/>
      <c r="AG5" s="13"/>
      <c r="AH5" s="13"/>
      <c r="AI5" s="13"/>
      <c r="AJ5" s="13"/>
      <c r="AK5" s="21"/>
    </row>
    <row r="6" spans="1:37" ht="10.5" customHeight="1" x14ac:dyDescent="0.35">
      <c r="B6" s="12"/>
      <c r="C6" s="21" t="str">
        <f>VLOOKUP(80,T!A2:'T'!K2000,Order!B31+1)</f>
        <v>Plate HE air to air 1x counter flow</v>
      </c>
      <c r="D6" s="33"/>
      <c r="E6" s="33"/>
      <c r="F6" s="33"/>
      <c r="G6" s="26">
        <v>2</v>
      </c>
      <c r="H6" s="17">
        <f>ROUND((Order!AS6*Order!AV6+Order!AT6*Order!AW6+Order!AU6*Order!AX6)*IF(G6&lt;=1,1,IF(G6=2,2,"")),0)</f>
        <v>0</v>
      </c>
      <c r="K6" s="24" t="b">
        <f t="shared" si="0"/>
        <v>0</v>
      </c>
      <c r="L6" s="26">
        <v>2</v>
      </c>
      <c r="N6" s="313" t="s">
        <v>971</v>
      </c>
      <c r="O6" s="314"/>
      <c r="P6" s="315"/>
      <c r="Q6" s="176" t="s">
        <v>971</v>
      </c>
      <c r="R6" s="176" t="s">
        <v>971</v>
      </c>
      <c r="T6" s="20"/>
      <c r="U6" s="107"/>
      <c r="V6" s="13"/>
      <c r="W6" s="107"/>
      <c r="X6" s="21"/>
      <c r="Z6" s="20"/>
      <c r="AA6" s="13"/>
      <c r="AB6" s="13"/>
      <c r="AC6" s="13"/>
      <c r="AD6" s="13"/>
      <c r="AE6" s="13"/>
      <c r="AF6" s="13"/>
      <c r="AG6" s="13"/>
      <c r="AH6" s="13"/>
      <c r="AI6" s="13"/>
      <c r="AJ6" s="13"/>
      <c r="AK6" s="21"/>
    </row>
    <row r="7" spans="1:37" ht="10.5" customHeight="1" x14ac:dyDescent="0.35">
      <c r="B7" s="12"/>
      <c r="C7" s="162" t="str">
        <f>VLOOKUP(81,T!A2:'T'!K2000,Order!B31+1)</f>
        <v>Thermic rotor</v>
      </c>
      <c r="D7" s="156"/>
      <c r="E7" s="156"/>
      <c r="F7" s="156"/>
      <c r="G7" s="160">
        <v>2</v>
      </c>
      <c r="H7" s="69">
        <f>ROUND((Order!AS7*Order!AV7+Order!AT7*Order!AW7+Order!AU7*Order!AX7)*IF(G7&lt;=1,1,IF(G7=2,2,"")),0)</f>
        <v>0</v>
      </c>
      <c r="K7" s="24" t="b">
        <f t="shared" si="0"/>
        <v>0</v>
      </c>
      <c r="L7" s="160">
        <v>2</v>
      </c>
      <c r="N7" s="42"/>
      <c r="O7" s="42"/>
      <c r="P7" s="42"/>
      <c r="Q7" s="42"/>
      <c r="R7" s="42"/>
      <c r="T7" s="20"/>
      <c r="U7" s="107"/>
      <c r="V7" s="13"/>
      <c r="W7" s="107"/>
      <c r="X7" s="21"/>
      <c r="Z7" s="20"/>
      <c r="AA7" s="13"/>
      <c r="AB7" s="13"/>
      <c r="AC7" s="13"/>
      <c r="AD7" s="13"/>
      <c r="AE7" s="13"/>
      <c r="AF7" s="13"/>
      <c r="AG7" s="13"/>
      <c r="AH7" s="13"/>
      <c r="AI7" s="13"/>
      <c r="AJ7" s="13"/>
      <c r="AK7" s="21"/>
    </row>
    <row r="8" spans="1:37" ht="10.5" customHeight="1" x14ac:dyDescent="0.35">
      <c r="B8" s="12"/>
      <c r="C8" s="21" t="str">
        <f>VLOOKUP(58,T!A2:'T'!K2000,Order!B31+1)</f>
        <v>Sorption rotor</v>
      </c>
      <c r="D8" s="33"/>
      <c r="E8" s="33"/>
      <c r="F8" s="33"/>
      <c r="G8" s="26">
        <v>2</v>
      </c>
      <c r="H8" s="17">
        <f>ROUND((Order!AS8*Order!AV8+Order!AT8*Order!AW8+Order!AU8*Order!AX8)*IF(G8&lt;=1,1,IF(G8=2,2,"")),0)</f>
        <v>0</v>
      </c>
      <c r="K8" s="24" t="b">
        <f t="shared" si="0"/>
        <v>0</v>
      </c>
      <c r="L8" s="26">
        <v>2</v>
      </c>
      <c r="N8" s="316" t="str">
        <f>VLOOKUP(45,T!A2:'T'!K2000,Order!B31+1)</f>
        <v>Note</v>
      </c>
      <c r="O8" s="317"/>
      <c r="P8" s="317"/>
      <c r="Q8" s="317"/>
      <c r="R8" s="318"/>
      <c r="T8" s="20"/>
      <c r="U8" s="107"/>
      <c r="V8" s="13"/>
      <c r="W8" s="107"/>
      <c r="X8" s="21"/>
      <c r="Z8" s="20"/>
      <c r="AA8" s="13"/>
      <c r="AB8" s="13"/>
      <c r="AC8" s="13"/>
      <c r="AD8" s="13"/>
      <c r="AE8" s="13"/>
      <c r="AF8" s="13"/>
      <c r="AG8" s="13"/>
      <c r="AH8" s="13"/>
      <c r="AI8" s="13"/>
      <c r="AJ8" s="13"/>
      <c r="AK8" s="21"/>
    </row>
    <row r="9" spans="1:37" ht="10.5" customHeight="1" x14ac:dyDescent="0.35">
      <c r="B9" s="12"/>
      <c r="C9" s="21" t="str">
        <f>VLOOKUP(82,T!A2:'T'!K2000,Order!B31+1)</f>
        <v>Desiccant rotor</v>
      </c>
      <c r="D9" s="33"/>
      <c r="E9" s="33"/>
      <c r="F9" s="33"/>
      <c r="G9" s="26">
        <v>2</v>
      </c>
      <c r="H9" s="17">
        <f>ROUND((Order!AS9*Order!AV9+Order!AT9*Order!AW9+Order!AU9*Order!AX9)*IF(G9&lt;=1,1,IF(G9=2,2,"")),0)</f>
        <v>0</v>
      </c>
      <c r="K9" s="24" t="b">
        <f t="shared" si="0"/>
        <v>0</v>
      </c>
      <c r="L9" s="26">
        <v>2</v>
      </c>
      <c r="N9" s="319"/>
      <c r="O9" s="303"/>
      <c r="P9" s="303"/>
      <c r="Q9" s="303"/>
      <c r="R9" s="304"/>
      <c r="T9" s="20"/>
      <c r="U9" s="107"/>
      <c r="V9" s="13"/>
      <c r="W9" s="107"/>
      <c r="X9" s="21"/>
      <c r="Z9" s="20"/>
      <c r="AA9" s="13"/>
      <c r="AB9" s="13"/>
      <c r="AC9" s="13"/>
      <c r="AD9" s="13"/>
      <c r="AE9" s="13"/>
      <c r="AF9" s="13"/>
      <c r="AG9" s="13"/>
      <c r="AH9" s="13"/>
      <c r="AI9" s="13"/>
      <c r="AJ9" s="13"/>
      <c r="AK9" s="21"/>
    </row>
    <row r="10" spans="1:37" ht="10.5" customHeight="1" x14ac:dyDescent="0.35">
      <c r="B10" s="12"/>
      <c r="C10" s="163" t="str">
        <f>VLOOKUP(115,T!A2:'T'!K2000,Order!B31+1)</f>
        <v>Desiccant rotor system</v>
      </c>
      <c r="D10" s="158"/>
      <c r="E10" s="158"/>
      <c r="F10" s="158"/>
      <c r="G10" s="161">
        <v>2</v>
      </c>
      <c r="H10" s="159">
        <f>ROUND((Order!AS10*Order!AV10+Order!AT10*Order!AW10+Order!AU10*Order!AX10)*IF(G10&lt;=1,1,IF(G10=2,2,"")),0)</f>
        <v>0</v>
      </c>
      <c r="K10" s="24" t="b">
        <f t="shared" si="0"/>
        <v>0</v>
      </c>
      <c r="L10" s="161">
        <v>2</v>
      </c>
      <c r="N10" s="330" t="str">
        <f>VLOOKUP(44,T!A2:'T'!K2000,Order!B31+1)</f>
        <v>Update and Upgrade are often confused. An Update fixes bugs. Within the support period, this is tax-free. After the end of the support period, this is subject to a charge according to the actual downloadable price list. However, an Upgrade brings necessary adjustments to new operating systems or extensions through which the functionality of the application increases, which is always to pay.</v>
      </c>
      <c r="O10" s="331"/>
      <c r="P10" s="331"/>
      <c r="Q10" s="331"/>
      <c r="R10" s="332"/>
      <c r="T10" s="20"/>
      <c r="U10" s="107"/>
      <c r="V10" s="13"/>
      <c r="W10" s="107"/>
      <c r="X10" s="21"/>
      <c r="Z10" s="20"/>
      <c r="AA10" s="13"/>
      <c r="AB10" s="13"/>
      <c r="AC10" s="13"/>
      <c r="AD10" s="13"/>
      <c r="AE10" s="13"/>
      <c r="AF10" s="13"/>
      <c r="AG10" s="13"/>
      <c r="AH10" s="13"/>
      <c r="AI10" s="13"/>
      <c r="AJ10" s="13"/>
      <c r="AK10" s="21"/>
    </row>
    <row r="11" spans="1:37" ht="10.5" customHeight="1" x14ac:dyDescent="0.35">
      <c r="B11" s="12"/>
      <c r="C11" s="21" t="str">
        <f>VLOOKUP(225,T!A2:'T'!K2000,Order!B31+1)</f>
        <v>Thermic regenerator</v>
      </c>
      <c r="D11" s="33"/>
      <c r="E11" s="33"/>
      <c r="F11" s="33"/>
      <c r="G11" s="26">
        <v>2</v>
      </c>
      <c r="H11" s="17">
        <f>ROUND((Order!AS11*Order!AV11+Order!AT11*Order!AW11+Order!AU11*Order!AX11)*IF(G11&lt;=1,1,IF(G11=2,2,"")),0)</f>
        <v>0</v>
      </c>
      <c r="K11" s="24" t="b">
        <f t="shared" si="0"/>
        <v>0</v>
      </c>
      <c r="L11" s="26">
        <v>2</v>
      </c>
      <c r="N11" s="333"/>
      <c r="O11" s="334"/>
      <c r="P11" s="334"/>
      <c r="Q11" s="334"/>
      <c r="R11" s="335"/>
      <c r="T11" s="20"/>
      <c r="U11" s="107"/>
      <c r="V11" s="13"/>
      <c r="W11" s="107"/>
      <c r="X11" s="21"/>
      <c r="Z11" s="20"/>
      <c r="AA11" s="13"/>
      <c r="AB11" s="13"/>
      <c r="AC11" s="13"/>
      <c r="AD11" s="13"/>
      <c r="AE11" s="13"/>
      <c r="AF11" s="13"/>
      <c r="AG11" s="13"/>
      <c r="AH11" s="13"/>
      <c r="AI11" s="13"/>
      <c r="AJ11" s="13"/>
      <c r="AK11" s="21"/>
    </row>
    <row r="12" spans="1:37" ht="10.5" customHeight="1" x14ac:dyDescent="0.35">
      <c r="B12" s="12"/>
      <c r="C12" s="21" t="str">
        <f>VLOOKUP(183,T!A2:'T'!K2000,Order!B31+1)</f>
        <v>Sorption regenerator</v>
      </c>
      <c r="D12" s="33"/>
      <c r="E12" s="33"/>
      <c r="F12" s="33"/>
      <c r="G12" s="26">
        <v>2</v>
      </c>
      <c r="H12" s="17">
        <f>ROUND((Order!AS12*Order!AV12+Order!AT12*Order!AW12+Order!AU12*Order!AX12)*IF(G12&lt;=1,1,IF(G12=2,2,"")),0)</f>
        <v>0</v>
      </c>
      <c r="K12" s="24" t="b">
        <f t="shared" si="0"/>
        <v>0</v>
      </c>
      <c r="L12" s="26">
        <v>2</v>
      </c>
      <c r="N12" s="333"/>
      <c r="O12" s="334"/>
      <c r="P12" s="334"/>
      <c r="Q12" s="334"/>
      <c r="R12" s="335"/>
      <c r="T12" s="20"/>
      <c r="U12" s="107"/>
      <c r="V12" s="13"/>
      <c r="W12" s="107"/>
      <c r="X12" s="21"/>
      <c r="Z12" s="20"/>
      <c r="AA12" s="13"/>
      <c r="AB12" s="13"/>
      <c r="AC12" s="13"/>
      <c r="AD12" s="13"/>
      <c r="AE12" s="13"/>
      <c r="AF12" s="13"/>
      <c r="AG12" s="13"/>
      <c r="AH12" s="13"/>
      <c r="AI12" s="13"/>
      <c r="AJ12" s="13"/>
      <c r="AK12" s="21"/>
    </row>
    <row r="13" spans="1:37" ht="10.5" customHeight="1" x14ac:dyDescent="0.35">
      <c r="B13" s="12"/>
      <c r="C13" s="21" t="str">
        <f>VLOOKUP(226,T!A2:'T'!K2000,Order!B31+1)</f>
        <v>Desiccant regenerator</v>
      </c>
      <c r="D13" s="33"/>
      <c r="E13" s="33"/>
      <c r="F13" s="33"/>
      <c r="G13" s="26">
        <v>2</v>
      </c>
      <c r="H13" s="17">
        <f>ROUND((Order!AS13*Order!AV13+Order!AT13*Order!AW13+Order!AU13*Order!AX13)*IF(G13&lt;=1,1,IF(G13=2,2,"")),0)</f>
        <v>0</v>
      </c>
      <c r="K13" s="24" t="b">
        <f t="shared" si="0"/>
        <v>0</v>
      </c>
      <c r="L13" s="26">
        <v>2</v>
      </c>
      <c r="N13" s="333"/>
      <c r="O13" s="334"/>
      <c r="P13" s="334"/>
      <c r="Q13" s="334"/>
      <c r="R13" s="335"/>
      <c r="T13" s="20"/>
      <c r="U13" s="107"/>
      <c r="V13" s="13"/>
      <c r="W13" s="107"/>
      <c r="X13" s="21"/>
      <c r="Z13" s="20"/>
      <c r="AA13" s="13"/>
      <c r="AB13" s="13"/>
      <c r="AC13" s="13"/>
      <c r="AD13" s="13"/>
      <c r="AE13" s="13"/>
      <c r="AF13" s="13"/>
      <c r="AG13" s="13"/>
      <c r="AH13" s="13"/>
      <c r="AI13" s="13"/>
      <c r="AJ13" s="13"/>
      <c r="AK13" s="21"/>
    </row>
    <row r="14" spans="1:37" ht="10.5" customHeight="1" x14ac:dyDescent="0.35">
      <c r="B14" s="12"/>
      <c r="C14" s="163" t="str">
        <f>VLOOKUP(227,T!A2:'T'!K2000,Order!B31+1)</f>
        <v>Desiccant regenerator system</v>
      </c>
      <c r="D14" s="158"/>
      <c r="E14" s="158"/>
      <c r="F14" s="158"/>
      <c r="G14" s="161">
        <v>2</v>
      </c>
      <c r="H14" s="159">
        <f>ROUND((Order!AS14*Order!AV14+Order!AT14*Order!AW14+Order!AU14*Order!AX14)*IF(G14&lt;=1,1,IF(G14=2,2,"")),0)</f>
        <v>0</v>
      </c>
      <c r="K14" s="24" t="b">
        <f t="shared" si="0"/>
        <v>0</v>
      </c>
      <c r="L14" s="161">
        <v>2</v>
      </c>
      <c r="N14" s="333"/>
      <c r="O14" s="334"/>
      <c r="P14" s="334"/>
      <c r="Q14" s="334"/>
      <c r="R14" s="335"/>
      <c r="T14" s="20"/>
      <c r="U14" s="107"/>
      <c r="V14" s="13"/>
      <c r="W14" s="107"/>
      <c r="X14" s="21"/>
      <c r="Z14" s="20"/>
      <c r="AA14" s="13"/>
      <c r="AB14" s="13"/>
      <c r="AC14" s="13"/>
      <c r="AD14" s="13"/>
      <c r="AE14" s="13"/>
      <c r="AF14" s="13"/>
      <c r="AG14" s="13"/>
      <c r="AH14" s="13"/>
      <c r="AI14" s="13"/>
      <c r="AJ14" s="13"/>
      <c r="AK14" s="21"/>
    </row>
    <row r="15" spans="1:37" ht="10.5" customHeight="1" x14ac:dyDescent="0.35">
      <c r="B15" s="12"/>
      <c r="C15" s="162" t="str">
        <f>VLOOKUP(83,T!A2:'T'!K2000,Order!B31+1)</f>
        <v>Smooth tube HE air to air 1 cross flow exhaust outside</v>
      </c>
      <c r="D15" s="156"/>
      <c r="E15" s="156"/>
      <c r="F15" s="156"/>
      <c r="G15" s="160">
        <v>2</v>
      </c>
      <c r="H15" s="69">
        <f>ROUND((Order!AS15*Order!AV15+Order!AT15*Order!AW15+Order!AU15*Order!AX15)*IF(G15&lt;=1,1,IF(G15=2,2,"")),0)</f>
        <v>0</v>
      </c>
      <c r="K15" s="24" t="b">
        <f t="shared" si="0"/>
        <v>0</v>
      </c>
      <c r="L15" s="160">
        <v>2</v>
      </c>
      <c r="N15" s="336"/>
      <c r="O15" s="337"/>
      <c r="P15" s="337"/>
      <c r="Q15" s="337"/>
      <c r="R15" s="338"/>
      <c r="T15" s="98"/>
      <c r="U15" s="108"/>
      <c r="V15" s="16"/>
      <c r="W15" s="108"/>
      <c r="X15" s="22"/>
      <c r="Z15" s="20"/>
      <c r="AA15" s="13"/>
      <c r="AB15" s="13"/>
      <c r="AC15" s="13"/>
      <c r="AD15" s="13"/>
      <c r="AE15" s="13"/>
      <c r="AF15" s="13"/>
      <c r="AG15" s="13"/>
      <c r="AH15" s="13"/>
      <c r="AI15" s="13"/>
      <c r="AJ15" s="13"/>
      <c r="AK15" s="21"/>
    </row>
    <row r="16" spans="1:37" ht="10.5" customHeight="1" x14ac:dyDescent="0.35">
      <c r="B16" s="12"/>
      <c r="C16" s="21" t="str">
        <f>VLOOKUP(84,T!A2:'T'!K2000,Order!B31+1)</f>
        <v>Smooth tube HE air to air 2 cross flow exhaust outside</v>
      </c>
      <c r="D16" s="33"/>
      <c r="E16" s="33"/>
      <c r="F16" s="33"/>
      <c r="G16" s="26">
        <v>2</v>
      </c>
      <c r="H16" s="17">
        <f>ROUND((Order!AS16*Order!AV16+Order!AT16*Order!AW16+Order!AU16*Order!AX16)*IF(G16&lt;=1,1,IF(G16=2,2,"")),0)</f>
        <v>0</v>
      </c>
      <c r="K16" s="24" t="b">
        <f t="shared" si="0"/>
        <v>0</v>
      </c>
      <c r="L16" s="26">
        <v>2</v>
      </c>
      <c r="M16" s="42"/>
      <c r="Z16" s="20"/>
      <c r="AA16" s="13"/>
      <c r="AB16" s="13"/>
      <c r="AC16" s="13"/>
      <c r="AD16" s="13"/>
      <c r="AE16" s="13"/>
      <c r="AF16" s="13"/>
      <c r="AG16" s="13"/>
      <c r="AH16" s="13"/>
      <c r="AI16" s="13"/>
      <c r="AJ16" s="13"/>
      <c r="AK16" s="21"/>
    </row>
    <row r="17" spans="1:37" ht="10.5" customHeight="1" x14ac:dyDescent="0.35">
      <c r="B17" s="12"/>
      <c r="C17" s="21" t="str">
        <f>VLOOKUP(85,T!A2:'T'!K2000,Order!B31+1)</f>
        <v>Smooth tube HE air to air 1 cross flow exhaust inside</v>
      </c>
      <c r="D17" s="33"/>
      <c r="E17" s="33"/>
      <c r="F17" s="33"/>
      <c r="G17" s="26">
        <v>2</v>
      </c>
      <c r="H17" s="17">
        <f>ROUND((Order!AS17*Order!AV17+Order!AT17*Order!AW17+Order!AU17*Order!AX17)*IF(G17&lt;=1,1,IF(G17=2,2,"")),0)</f>
        <v>0</v>
      </c>
      <c r="K17" s="24" t="b">
        <f t="shared" si="0"/>
        <v>0</v>
      </c>
      <c r="L17" s="26">
        <v>2</v>
      </c>
      <c r="M17" s="42"/>
      <c r="N17" s="305" t="str">
        <f>VLOOKUP(161,T!A2:'T'!K2000,Order!B31+1)</f>
        <v>Commonly used energy recovery systems</v>
      </c>
      <c r="O17" s="306"/>
      <c r="P17" s="306"/>
      <c r="Q17" s="306"/>
      <c r="R17" s="307"/>
      <c r="T17" s="305" t="s">
        <v>751</v>
      </c>
      <c r="U17" s="306"/>
      <c r="V17" s="306"/>
      <c r="W17" s="306"/>
      <c r="X17" s="307"/>
      <c r="Z17" s="20"/>
      <c r="AA17" s="13"/>
      <c r="AB17" s="13"/>
      <c r="AC17" s="13"/>
      <c r="AD17" s="13"/>
      <c r="AE17" s="13"/>
      <c r="AF17" s="13"/>
      <c r="AG17" s="13"/>
      <c r="AH17" s="13"/>
      <c r="AI17" s="13"/>
      <c r="AJ17" s="13"/>
      <c r="AK17" s="21"/>
    </row>
    <row r="18" spans="1:37" ht="10.5" customHeight="1" x14ac:dyDescent="0.35">
      <c r="B18" s="12"/>
      <c r="C18" s="22" t="str">
        <f>VLOOKUP(86,T!A2:'T'!K2000,Order!B31+1)</f>
        <v>Smooth tube HE air to air 2 cross flow exhaust inside</v>
      </c>
      <c r="D18" s="34"/>
      <c r="E18" s="34"/>
      <c r="F18" s="34"/>
      <c r="G18" s="41">
        <v>2</v>
      </c>
      <c r="H18" s="19">
        <f>ROUND((Order!AS18*Order!AV18+Order!AT18*Order!AW18+Order!AU18*Order!AX18)*IF(G18&lt;=1,1,IF(G18=2,2,"")),0)</f>
        <v>0</v>
      </c>
      <c r="K18" s="25" t="b">
        <f t="shared" si="0"/>
        <v>0</v>
      </c>
      <c r="L18" s="41">
        <v>2</v>
      </c>
      <c r="M18" s="42"/>
      <c r="N18" s="308"/>
      <c r="O18" s="309"/>
      <c r="P18" s="309"/>
      <c r="Q18" s="309"/>
      <c r="R18" s="310"/>
      <c r="T18" s="308"/>
      <c r="U18" s="309"/>
      <c r="V18" s="309"/>
      <c r="W18" s="309"/>
      <c r="X18" s="310"/>
      <c r="Z18" s="20"/>
      <c r="AA18" s="13"/>
      <c r="AB18" s="13"/>
      <c r="AC18" s="13"/>
      <c r="AD18" s="13"/>
      <c r="AE18" s="13"/>
      <c r="AF18" s="13"/>
      <c r="AG18" s="13"/>
      <c r="AH18" s="13"/>
      <c r="AI18" s="13"/>
      <c r="AJ18" s="13"/>
      <c r="AK18" s="21"/>
    </row>
    <row r="19" spans="1:37" ht="10.5" customHeight="1" x14ac:dyDescent="0.35">
      <c r="B19" s="66" t="s">
        <v>296</v>
      </c>
      <c r="C19" s="13" t="str">
        <f>VLOOKUP(95,T!A2:'T'!K2000,Order!B31+1)</f>
        <v>Fin coil air heater with liquid agents, intersection point with fan</v>
      </c>
      <c r="D19" s="33"/>
      <c r="E19" s="33"/>
      <c r="F19" s="33"/>
      <c r="G19" s="26">
        <v>2</v>
      </c>
      <c r="H19" s="18">
        <f>ROUND((Order!AS19*Order!AV19+Order!AT19*Order!AW19+Order!AU19*Order!AX19)*IF(G19&lt;=1,1,IF(G19=2,2,"")),0)</f>
        <v>0</v>
      </c>
      <c r="K19" s="23" t="b">
        <f t="shared" si="0"/>
        <v>0</v>
      </c>
      <c r="L19" s="26">
        <v>2</v>
      </c>
      <c r="M19" s="42"/>
      <c r="N19" s="99"/>
      <c r="O19" s="105"/>
      <c r="P19" s="105"/>
      <c r="Q19" s="105"/>
      <c r="R19" s="106"/>
      <c r="S19" s="1"/>
      <c r="T19" s="99"/>
      <c r="U19" s="105"/>
      <c r="V19" s="105"/>
      <c r="W19" s="105"/>
      <c r="X19" s="106"/>
      <c r="Z19" s="20"/>
      <c r="AA19" s="13"/>
      <c r="AB19" s="13"/>
      <c r="AC19" s="13"/>
      <c r="AD19" s="13"/>
      <c r="AE19" s="13"/>
      <c r="AF19" s="13"/>
      <c r="AG19" s="13"/>
      <c r="AH19" s="13"/>
      <c r="AI19" s="13"/>
      <c r="AJ19" s="13"/>
      <c r="AK19" s="21"/>
    </row>
    <row r="20" spans="1:37" ht="10.5" customHeight="1" x14ac:dyDescent="0.35">
      <c r="B20" s="12"/>
      <c r="C20" s="13" t="str">
        <f>VLOOKUP(96,T!A2:'T'!K2000,Order!B31+1)</f>
        <v>Fin coil air cooler with liquid agents, intersection point with fan</v>
      </c>
      <c r="D20" s="33"/>
      <c r="E20" s="33"/>
      <c r="F20" s="33"/>
      <c r="G20" s="26">
        <v>2</v>
      </c>
      <c r="H20" s="17">
        <f>ROUND((Order!AS20*Order!AV20+Order!AT20*Order!AW20+Order!AU20*Order!AX20)*IF(G20&lt;=1,1,IF(G20=2,2,"")),0)</f>
        <v>0</v>
      </c>
      <c r="K20" s="24" t="b">
        <f t="shared" si="0"/>
        <v>0</v>
      </c>
      <c r="L20" s="26">
        <v>2</v>
      </c>
      <c r="M20" s="42"/>
      <c r="N20" s="20" t="str">
        <f>C4</f>
        <v>Plate HE air to air 1x cross flow</v>
      </c>
      <c r="O20" s="107"/>
      <c r="P20" s="13"/>
      <c r="Q20" s="107"/>
      <c r="R20" s="21"/>
      <c r="S20" s="1"/>
      <c r="T20" s="20"/>
      <c r="U20" s="107"/>
      <c r="V20" s="13"/>
      <c r="W20" s="107"/>
      <c r="X20" s="21"/>
      <c r="Z20" s="20"/>
      <c r="AA20" s="13"/>
      <c r="AB20" s="13"/>
      <c r="AC20" s="13"/>
      <c r="AD20" s="13"/>
      <c r="AE20" s="13"/>
      <c r="AF20" s="13"/>
      <c r="AG20" s="13"/>
      <c r="AH20" s="13"/>
      <c r="AI20" s="13"/>
      <c r="AJ20" s="13"/>
      <c r="AK20" s="21"/>
    </row>
    <row r="21" spans="1:37" ht="10.5" customHeight="1" x14ac:dyDescent="0.35">
      <c r="B21" s="12"/>
      <c r="C21" s="21" t="str">
        <f>VLOOKUP(97,T!A2:'T'!K2000,Order!B31+1)</f>
        <v>Fin coil refrigerant condenser, intersection point with fan</v>
      </c>
      <c r="D21" s="33"/>
      <c r="E21" s="33"/>
      <c r="F21" s="33"/>
      <c r="G21" s="26">
        <v>2</v>
      </c>
      <c r="H21" s="17">
        <f>ROUND((Order!AS21*Order!AV21+Order!AT21*Order!AW21+Order!AU21*Order!AX21)*IF(G21&lt;=1,1,IF(G21=2,2,"")),0)</f>
        <v>0</v>
      </c>
      <c r="K21" s="24" t="b">
        <f t="shared" si="0"/>
        <v>0</v>
      </c>
      <c r="L21" s="26">
        <v>2</v>
      </c>
      <c r="N21" s="20"/>
      <c r="O21" s="107"/>
      <c r="P21" s="13"/>
      <c r="Q21" s="107"/>
      <c r="R21" s="21"/>
      <c r="S21" s="1"/>
      <c r="T21" s="20"/>
      <c r="U21" s="107"/>
      <c r="V21" s="13"/>
      <c r="W21" s="107"/>
      <c r="X21" s="21"/>
      <c r="Z21" s="20"/>
      <c r="AA21" s="13"/>
      <c r="AB21" s="13"/>
      <c r="AC21" s="13"/>
      <c r="AD21" s="13"/>
      <c r="AE21" s="13"/>
      <c r="AF21" s="13"/>
      <c r="AG21" s="13"/>
      <c r="AH21" s="13"/>
      <c r="AI21" s="13"/>
      <c r="AJ21" s="13"/>
      <c r="AK21" s="21"/>
    </row>
    <row r="22" spans="1:37" ht="10.5" customHeight="1" x14ac:dyDescent="0.35">
      <c r="B22" s="12"/>
      <c r="C22" s="13" t="str">
        <f>VLOOKUP(98,T!A2:'T'!K2000,Order!B31+1)</f>
        <v>Fin coil refrigerant DX-Evaporator, intersection point with fan</v>
      </c>
      <c r="D22" s="33"/>
      <c r="E22" s="33"/>
      <c r="F22" s="33"/>
      <c r="G22" s="26">
        <v>2</v>
      </c>
      <c r="H22" s="17">
        <f>ROUND((Order!AS22*Order!AV22+Order!AT22*Order!AW22+Order!AU22*Order!AX22)*IF(G22&lt;=1,1,IF(G22=2,2,"")),0)</f>
        <v>0</v>
      </c>
      <c r="K22" s="24" t="b">
        <f t="shared" si="0"/>
        <v>0</v>
      </c>
      <c r="L22" s="26">
        <v>2</v>
      </c>
      <c r="M22" s="42"/>
      <c r="N22" s="20"/>
      <c r="O22" s="107"/>
      <c r="P22" s="13"/>
      <c r="Q22" s="107"/>
      <c r="R22" s="21"/>
      <c r="S22" s="42"/>
      <c r="T22" s="20"/>
      <c r="U22" s="107"/>
      <c r="V22" s="13"/>
      <c r="W22" s="107"/>
      <c r="X22" s="21"/>
      <c r="Z22" s="20"/>
      <c r="AA22" s="13"/>
      <c r="AB22" s="13"/>
      <c r="AC22" s="13"/>
      <c r="AD22" s="13"/>
      <c r="AE22" s="13"/>
      <c r="AF22" s="13"/>
      <c r="AG22" s="13"/>
      <c r="AH22" s="13"/>
      <c r="AI22" s="13"/>
      <c r="AJ22" s="13"/>
      <c r="AK22" s="21"/>
    </row>
    <row r="23" spans="1:37" ht="10.5" customHeight="1" x14ac:dyDescent="0.35">
      <c r="B23" s="12"/>
      <c r="C23" s="13" t="str">
        <f>VLOOKUP(99,T!A2:'T'!K2000,Order!B31+1)</f>
        <v>Fin coil refrigerant RC-Evaporator, intersection point with fan</v>
      </c>
      <c r="D23" s="33"/>
      <c r="E23" s="33"/>
      <c r="F23" s="33"/>
      <c r="G23" s="26">
        <v>2</v>
      </c>
      <c r="H23" s="17">
        <f>ROUND((Order!AS23*Order!AV23+Order!AT23*Order!AW23+Order!AU23*Order!AX23)*IF(G23&lt;=1,1,IF(G23=2,2,"")),0)</f>
        <v>0</v>
      </c>
      <c r="K23" s="24" t="b">
        <f t="shared" si="0"/>
        <v>0</v>
      </c>
      <c r="L23" s="26">
        <v>2</v>
      </c>
      <c r="M23" s="42"/>
      <c r="N23" s="20"/>
      <c r="O23" s="107"/>
      <c r="P23" s="13"/>
      <c r="Q23" s="107"/>
      <c r="R23" s="21"/>
      <c r="S23" s="42"/>
      <c r="T23" s="20"/>
      <c r="U23" s="107"/>
      <c r="V23" s="13"/>
      <c r="W23" s="107"/>
      <c r="X23" s="21"/>
      <c r="Z23" s="20"/>
      <c r="AA23" s="13"/>
      <c r="AB23" s="13"/>
      <c r="AC23" s="13"/>
      <c r="AD23" s="13"/>
      <c r="AE23" s="13"/>
      <c r="AF23" s="13"/>
      <c r="AG23" s="13"/>
      <c r="AH23" s="13"/>
      <c r="AI23" s="13"/>
      <c r="AJ23" s="13"/>
      <c r="AK23" s="21"/>
    </row>
    <row r="24" spans="1:37" ht="10.5" customHeight="1" x14ac:dyDescent="0.35">
      <c r="B24" s="12"/>
      <c r="C24" s="21" t="str">
        <f>VLOOKUP(100,T!A2:'T'!K2000,Order!B31+1)</f>
        <v>Fin coil 2 serial air heater with liquid agents, intersection point with fan</v>
      </c>
      <c r="D24" s="33"/>
      <c r="E24" s="33"/>
      <c r="F24" s="33"/>
      <c r="G24" s="26">
        <v>2</v>
      </c>
      <c r="H24" s="17">
        <f>ROUND((Order!AS24*Order!AV24+Order!AT24*Order!AW24+Order!AU24*Order!AX24)*IF(G24&lt;=1,1,IF(G24=2,2,"")),0)</f>
        <v>0</v>
      </c>
      <c r="K24" s="24" t="b">
        <f t="shared" si="0"/>
        <v>0</v>
      </c>
      <c r="L24" s="26">
        <v>2</v>
      </c>
      <c r="M24" s="42"/>
      <c r="N24" s="20"/>
      <c r="O24" s="107"/>
      <c r="P24" s="13"/>
      <c r="Q24" s="107"/>
      <c r="R24" s="21"/>
      <c r="S24" s="42"/>
      <c r="T24" s="20"/>
      <c r="U24" s="107"/>
      <c r="V24" s="13"/>
      <c r="W24" s="107"/>
      <c r="X24" s="21"/>
      <c r="Z24" s="360" t="str">
        <f>VLOOKUP(196,T!A2:'T'!K2000,Order!B31+1)</f>
        <v>Microchannel heat exchangers (MCHE) offer many advantages in terms of heat transfer coefficient, content, weight and depth. MCHE are made entirely of aluminum. The individual parts are connected in the soldering oven.</v>
      </c>
      <c r="AA24" s="361"/>
      <c r="AB24" s="361"/>
      <c r="AC24" s="361"/>
      <c r="AD24" s="361"/>
      <c r="AE24" s="13"/>
      <c r="AF24" s="13"/>
      <c r="AG24" s="13"/>
      <c r="AH24" s="13"/>
      <c r="AI24" s="13"/>
      <c r="AJ24" s="13"/>
      <c r="AK24" s="21"/>
    </row>
    <row r="25" spans="1:37" ht="10.5" customHeight="1" x14ac:dyDescent="0.35">
      <c r="B25" s="12"/>
      <c r="C25" s="21" t="str">
        <f>VLOOKUP(273,T!A2:'T'!K2000,Order!B31+1)</f>
        <v>Fin coil air cooler with liquid agents - El. defroster, intersec. point with fan</v>
      </c>
      <c r="D25" s="33"/>
      <c r="E25" s="33"/>
      <c r="F25" s="33"/>
      <c r="G25" s="26">
        <v>2</v>
      </c>
      <c r="H25" s="17">
        <f>ROUND((Order!AS25*Order!AV25+Order!AT25*Order!AW25+Order!AU25*Order!AX25)*IF(G25&lt;=1,1,IF(G25=2,2,"")),0)</f>
        <v>0</v>
      </c>
      <c r="K25" s="24" t="b">
        <f t="shared" si="0"/>
        <v>0</v>
      </c>
      <c r="L25" s="26">
        <v>2</v>
      </c>
      <c r="N25" s="20"/>
      <c r="O25" s="107"/>
      <c r="P25" s="13"/>
      <c r="Q25" s="107"/>
      <c r="R25" s="21"/>
      <c r="S25" s="42"/>
      <c r="T25" s="20"/>
      <c r="U25" s="107"/>
      <c r="V25" s="13"/>
      <c r="W25" s="107"/>
      <c r="X25" s="21"/>
      <c r="Z25" s="360"/>
      <c r="AA25" s="361"/>
      <c r="AB25" s="361"/>
      <c r="AC25" s="361"/>
      <c r="AD25" s="361"/>
      <c r="AE25" s="13"/>
      <c r="AF25" s="13"/>
      <c r="AG25" s="13"/>
      <c r="AH25" s="13"/>
      <c r="AI25" s="13"/>
      <c r="AJ25" s="13"/>
      <c r="AK25" s="21"/>
    </row>
    <row r="26" spans="1:37" ht="10.5" customHeight="1" x14ac:dyDescent="0.35">
      <c r="B26" s="12"/>
      <c r="C26" s="21" t="str">
        <f>VLOOKUP(274,T!A2:'T'!K2000,Order!B31+1)</f>
        <v>Fin coil refrigerant DX-Evaporator - El. defroster, intersec. point with fan</v>
      </c>
      <c r="D26" s="33"/>
      <c r="E26" s="33"/>
      <c r="F26" s="33"/>
      <c r="G26" s="26">
        <v>2</v>
      </c>
      <c r="H26" s="17">
        <f>ROUND((Order!AS26*Order!AV26+Order!AT26*Order!AW26+Order!AU26*Order!AX26)*IF(G26&lt;=1,1,IF(G26=2,2,"")),0)</f>
        <v>0</v>
      </c>
      <c r="K26" s="24" t="b">
        <f t="shared" si="0"/>
        <v>0</v>
      </c>
      <c r="L26" s="26">
        <v>2</v>
      </c>
      <c r="N26" s="20"/>
      <c r="O26" s="107"/>
      <c r="P26" s="13"/>
      <c r="Q26" s="107"/>
      <c r="R26" s="21"/>
      <c r="S26" s="42"/>
      <c r="T26" s="20"/>
      <c r="U26" s="107"/>
      <c r="V26" s="13"/>
      <c r="W26" s="107"/>
      <c r="X26" s="21"/>
      <c r="Z26" s="360"/>
      <c r="AA26" s="361"/>
      <c r="AB26" s="361"/>
      <c r="AC26" s="361"/>
      <c r="AD26" s="361"/>
      <c r="AE26" s="13"/>
      <c r="AF26" s="13"/>
      <c r="AG26" s="13"/>
      <c r="AH26" s="13"/>
      <c r="AI26" s="13"/>
      <c r="AJ26" s="13"/>
      <c r="AK26" s="21"/>
    </row>
    <row r="27" spans="1:37" ht="10.5" customHeight="1" x14ac:dyDescent="0.35">
      <c r="B27" s="66" t="s">
        <v>751</v>
      </c>
      <c r="C27" s="15" t="str">
        <f>VLOOKUP(156,T!A2:'T'!K2000,Order!B31+1)</f>
        <v>Vacuum water vapor cooler with liquid media - Electric defroster</v>
      </c>
      <c r="D27" s="67"/>
      <c r="E27" s="67"/>
      <c r="F27" s="67"/>
      <c r="G27" s="40">
        <v>2</v>
      </c>
      <c r="H27" s="17">
        <f>ROUND((Order!AS27*Order!AV27+Order!AT27*Order!AW27+Order!AU27*Order!AX27)*IF(G27&lt;=1,1,IF(G27=2,2,"")),0)</f>
        <v>0</v>
      </c>
      <c r="K27" s="23" t="b">
        <f t="shared" si="0"/>
        <v>0</v>
      </c>
      <c r="L27" s="40">
        <v>2</v>
      </c>
      <c r="N27" s="20"/>
      <c r="O27" s="107"/>
      <c r="P27" s="13"/>
      <c r="Q27" s="107"/>
      <c r="R27" s="21"/>
      <c r="S27" s="42"/>
      <c r="T27" s="20"/>
      <c r="U27" s="107"/>
      <c r="V27" s="13"/>
      <c r="W27" s="107"/>
      <c r="X27" s="21"/>
      <c r="Z27" s="360"/>
      <c r="AA27" s="361"/>
      <c r="AB27" s="361"/>
      <c r="AC27" s="361"/>
      <c r="AD27" s="361"/>
      <c r="AE27" s="13"/>
      <c r="AF27" s="13"/>
      <c r="AG27" s="13"/>
      <c r="AH27" s="13"/>
      <c r="AI27" s="13"/>
      <c r="AJ27" s="13"/>
      <c r="AK27" s="21"/>
    </row>
    <row r="28" spans="1:37" ht="10.5" customHeight="1" x14ac:dyDescent="0.35">
      <c r="B28" s="12"/>
      <c r="C28" s="13" t="str">
        <f>VLOOKUP(157,T!A2:'T'!K2000,Order!B31+1)</f>
        <v>Vacuum Water Vapor DX Evaporator - Electric Defroster</v>
      </c>
      <c r="D28" s="33"/>
      <c r="E28" s="33"/>
      <c r="F28" s="33"/>
      <c r="G28" s="26">
        <v>2</v>
      </c>
      <c r="H28" s="17">
        <f>ROUND((Order!AS28*Order!AV28+Order!AT28*Order!AW28+Order!AU28*Order!AX28)*IF(G28&lt;=1,1,IF(G28=2,2,"")),0)</f>
        <v>0</v>
      </c>
      <c r="K28" s="24" t="b">
        <f t="shared" si="0"/>
        <v>0</v>
      </c>
      <c r="L28" s="26">
        <v>2</v>
      </c>
      <c r="N28" s="20"/>
      <c r="O28" s="107"/>
      <c r="P28" s="13"/>
      <c r="Q28" s="107"/>
      <c r="R28" s="21"/>
      <c r="S28" s="1"/>
      <c r="T28" s="20"/>
      <c r="U28" s="107"/>
      <c r="V28" s="13"/>
      <c r="W28" s="107"/>
      <c r="X28" s="21"/>
      <c r="Z28" s="20"/>
      <c r="AA28" s="13"/>
      <c r="AB28" s="13"/>
      <c r="AC28" s="13"/>
      <c r="AD28" s="13"/>
      <c r="AE28" s="13"/>
      <c r="AF28" s="13"/>
      <c r="AG28" s="13"/>
      <c r="AH28" s="13"/>
      <c r="AI28" s="13"/>
      <c r="AJ28" s="13"/>
      <c r="AK28" s="21"/>
    </row>
    <row r="29" spans="1:37" s="42" customFormat="1" ht="10.5" customHeight="1" x14ac:dyDescent="0.35">
      <c r="A29" s="2"/>
      <c r="B29" s="43"/>
      <c r="C29" s="16" t="str">
        <f>VLOOKUP(158,T!A2:'T'!K2000,Order!B31+1)</f>
        <v>Vacuum Water Vapor RC Evaporator - Electric Defroster</v>
      </c>
      <c r="D29" s="34"/>
      <c r="E29" s="34"/>
      <c r="F29" s="34"/>
      <c r="G29" s="41">
        <v>2</v>
      </c>
      <c r="H29" s="17">
        <f>ROUND((Order!AS29*Order!AV29+Order!AT29*Order!AW29+Order!AU29*Order!AX29)*IF(G29&lt;=1,1,IF(G29=2,2,"")),0)</f>
        <v>0</v>
      </c>
      <c r="I29" s="1"/>
      <c r="J29" s="1"/>
      <c r="K29" s="25" t="b">
        <f t="shared" si="0"/>
        <v>0</v>
      </c>
      <c r="L29" s="41">
        <v>2</v>
      </c>
      <c r="M29" s="1"/>
      <c r="N29" s="20"/>
      <c r="O29" s="107"/>
      <c r="P29" s="13"/>
      <c r="Q29" s="107"/>
      <c r="R29" s="21"/>
      <c r="S29" s="1"/>
      <c r="T29" s="20"/>
      <c r="U29" s="107"/>
      <c r="V29" s="13"/>
      <c r="W29" s="107"/>
      <c r="X29" s="21"/>
      <c r="Z29" s="349" t="str">
        <f>C48</f>
        <v>Microchannel-Fin coil refrigerant condenser</v>
      </c>
      <c r="AA29" s="350"/>
      <c r="AB29" s="350"/>
      <c r="AC29" s="350"/>
      <c r="AD29" s="350"/>
      <c r="AE29" s="144"/>
      <c r="AF29" s="144"/>
      <c r="AG29" s="144"/>
      <c r="AH29" s="144"/>
      <c r="AI29" s="144"/>
      <c r="AJ29" s="144"/>
      <c r="AK29" s="170"/>
    </row>
    <row r="30" spans="1:37" s="42" customFormat="1" ht="10.5" customHeight="1" x14ac:dyDescent="0.35">
      <c r="A30" s="2"/>
      <c r="B30" s="66" t="s">
        <v>297</v>
      </c>
      <c r="C30" s="15" t="str">
        <f>VLOOKUP(101,T!A2:'T'!K2000,Order!B31+1)</f>
        <v>Spiral rib air heater with liquid agents</v>
      </c>
      <c r="D30" s="67"/>
      <c r="E30" s="67"/>
      <c r="F30" s="67"/>
      <c r="G30" s="40">
        <v>2</v>
      </c>
      <c r="H30" s="18">
        <f>ROUND((Order!AS30*Order!AV30+Order!AT30*Order!AW30+Order!AU30*Order!AX30)*IF(G30&lt;=1,1,IF(G30=2,2,"")),0)</f>
        <v>0</v>
      </c>
      <c r="I30" s="1"/>
      <c r="J30" s="1"/>
      <c r="K30" s="24" t="b">
        <f t="shared" si="0"/>
        <v>0</v>
      </c>
      <c r="L30" s="40">
        <v>2</v>
      </c>
      <c r="M30" s="1"/>
      <c r="N30" s="20"/>
      <c r="O30" s="107"/>
      <c r="P30" s="13"/>
      <c r="Q30" s="107"/>
      <c r="R30" s="21"/>
      <c r="S30" s="1"/>
      <c r="T30" s="20"/>
      <c r="U30" s="107"/>
      <c r="V30" s="13"/>
      <c r="W30" s="107"/>
      <c r="X30" s="21"/>
      <c r="Z30" s="20"/>
      <c r="AA30" s="13"/>
      <c r="AB30" s="13"/>
      <c r="AC30" s="13"/>
      <c r="AD30" s="13"/>
      <c r="AE30" s="13"/>
      <c r="AF30" s="13"/>
      <c r="AG30" s="13"/>
      <c r="AH30" s="13"/>
      <c r="AI30" s="13"/>
      <c r="AJ30" s="13"/>
      <c r="AK30" s="21"/>
    </row>
    <row r="31" spans="1:37" s="42" customFormat="1" ht="10.5" customHeight="1" x14ac:dyDescent="0.35">
      <c r="A31" s="2"/>
      <c r="B31" s="12"/>
      <c r="C31" s="13" t="str">
        <f>VLOOKUP(102,T!A2:'T'!K2000,Order!B31+1)</f>
        <v>Spiral rib air cooler with liquid agents</v>
      </c>
      <c r="D31" s="33"/>
      <c r="E31" s="33"/>
      <c r="F31" s="33"/>
      <c r="G31" s="26">
        <v>2</v>
      </c>
      <c r="H31" s="17">
        <f>ROUND((Order!AS31*Order!AV31+Order!AT31*Order!AW31+Order!AU31*Order!AX31)*IF(G31&lt;=1,1,IF(G31=2,2,"")),0)</f>
        <v>0</v>
      </c>
      <c r="I31" s="1"/>
      <c r="J31" s="1"/>
      <c r="K31" s="24" t="b">
        <f t="shared" si="0"/>
        <v>0</v>
      </c>
      <c r="L31" s="26">
        <v>2</v>
      </c>
      <c r="M31" s="1"/>
      <c r="N31" s="20"/>
      <c r="O31" s="107"/>
      <c r="P31" s="13"/>
      <c r="Q31" s="107"/>
      <c r="R31" s="21"/>
      <c r="S31" s="1"/>
      <c r="T31" s="20"/>
      <c r="U31" s="107"/>
      <c r="V31" s="13"/>
      <c r="W31" s="107"/>
      <c r="X31" s="21"/>
      <c r="Z31" s="20"/>
      <c r="AA31" s="13"/>
      <c r="AB31" s="13"/>
      <c r="AC31" s="13"/>
      <c r="AD31" s="13"/>
      <c r="AE31" s="13"/>
      <c r="AF31" s="13"/>
      <c r="AG31" s="13"/>
      <c r="AH31" s="13"/>
      <c r="AI31" s="13"/>
      <c r="AJ31" s="13"/>
      <c r="AK31" s="21"/>
    </row>
    <row r="32" spans="1:37" s="42" customFormat="1" ht="10.5" customHeight="1" x14ac:dyDescent="0.35">
      <c r="A32" s="2"/>
      <c r="B32" s="12"/>
      <c r="C32" s="21" t="str">
        <f>VLOOKUP(103,T!A2:'T'!K2000,Order!B31+1)</f>
        <v>Spiral rib refrigerant and steam condenser</v>
      </c>
      <c r="D32" s="33"/>
      <c r="E32" s="33"/>
      <c r="F32" s="33"/>
      <c r="G32" s="26">
        <v>2</v>
      </c>
      <c r="H32" s="17">
        <f>ROUND((Order!AS32*Order!AV32+Order!AT32*Order!AW32+Order!AU32*Order!AX32)*IF(G32&lt;=1,1,IF(G32=2,2,"")),0)</f>
        <v>0</v>
      </c>
      <c r="I32" s="1"/>
      <c r="J32" s="1"/>
      <c r="K32" s="24" t="b">
        <f t="shared" si="0"/>
        <v>0</v>
      </c>
      <c r="L32" s="26">
        <v>2</v>
      </c>
      <c r="M32" s="1"/>
      <c r="N32" s="20"/>
      <c r="O32" s="107"/>
      <c r="P32" s="13"/>
      <c r="Q32" s="107"/>
      <c r="R32" s="21"/>
      <c r="S32" s="1"/>
      <c r="T32" s="20"/>
      <c r="U32" s="107"/>
      <c r="V32" s="13"/>
      <c r="W32" s="107"/>
      <c r="X32" s="21"/>
      <c r="Z32" s="20"/>
      <c r="AA32" s="13"/>
      <c r="AB32" s="13"/>
      <c r="AC32" s="13"/>
      <c r="AD32" s="13"/>
      <c r="AE32" s="13"/>
      <c r="AF32" s="13"/>
      <c r="AG32" s="13"/>
      <c r="AH32" s="13"/>
      <c r="AI32" s="13"/>
      <c r="AJ32" s="13"/>
      <c r="AK32" s="21"/>
    </row>
    <row r="33" spans="1:37" s="42" customFormat="1" ht="10.5" customHeight="1" x14ac:dyDescent="0.35">
      <c r="A33" s="2"/>
      <c r="B33" s="12"/>
      <c r="C33" s="13" t="str">
        <f>VLOOKUP(104,T!A2:'T'!K2000,Order!B31+1)</f>
        <v>Spiral rib refrigerant DX-Evaporator</v>
      </c>
      <c r="D33" s="33"/>
      <c r="E33" s="33"/>
      <c r="F33" s="33"/>
      <c r="G33" s="26">
        <v>2</v>
      </c>
      <c r="H33" s="17">
        <f>ROUND((Order!AS33*Order!AV33+Order!AT33*Order!AW33+Order!AU33*Order!AX33)*IF(G33&lt;=1,1,IF(G33=2,2,"")),0)</f>
        <v>0</v>
      </c>
      <c r="I33" s="1"/>
      <c r="J33" s="1"/>
      <c r="K33" s="24" t="b">
        <f t="shared" si="0"/>
        <v>0</v>
      </c>
      <c r="L33" s="26">
        <v>2</v>
      </c>
      <c r="M33" s="1"/>
      <c r="N33" s="20"/>
      <c r="O33" s="107"/>
      <c r="P33" s="13"/>
      <c r="Q33" s="107"/>
      <c r="R33" s="21"/>
      <c r="S33" s="1"/>
      <c r="T33" s="20"/>
      <c r="U33" s="107"/>
      <c r="V33" s="13"/>
      <c r="W33" s="107"/>
      <c r="X33" s="21"/>
      <c r="Z33" s="20"/>
      <c r="AA33" s="13"/>
      <c r="AB33" s="13"/>
      <c r="AC33" s="13"/>
      <c r="AD33" s="13"/>
      <c r="AE33" s="13"/>
      <c r="AF33" s="13"/>
      <c r="AG33" s="13"/>
      <c r="AH33" s="13"/>
      <c r="AI33" s="13"/>
      <c r="AJ33" s="13"/>
      <c r="AK33" s="21"/>
    </row>
    <row r="34" spans="1:37" s="42" customFormat="1" ht="10.5" customHeight="1" x14ac:dyDescent="0.35">
      <c r="A34" s="2"/>
      <c r="B34" s="12"/>
      <c r="C34" s="13" t="str">
        <f>VLOOKUP(105,T!A2:'T'!K2000,Order!B31+1)</f>
        <v>Spiral rib refrigerant RC-Evaporator</v>
      </c>
      <c r="D34" s="33"/>
      <c r="E34" s="33"/>
      <c r="F34" s="33"/>
      <c r="G34" s="26">
        <v>2</v>
      </c>
      <c r="H34" s="19">
        <f>ROUND((Order!AS34*Order!AV34+Order!AT34*Order!AW34+Order!AU34*Order!AX34)*IF(G34&lt;=1,1,IF(G34=2,2,"")),0)</f>
        <v>0</v>
      </c>
      <c r="I34" s="1"/>
      <c r="J34" s="1"/>
      <c r="K34" s="24" t="b">
        <f t="shared" si="0"/>
        <v>0</v>
      </c>
      <c r="L34" s="26">
        <v>2</v>
      </c>
      <c r="M34" s="1"/>
      <c r="N34" s="20"/>
      <c r="O34" s="107"/>
      <c r="P34" s="13"/>
      <c r="Q34" s="107"/>
      <c r="R34" s="21"/>
      <c r="S34" s="1"/>
      <c r="T34" s="20"/>
      <c r="U34" s="107"/>
      <c r="V34" s="13"/>
      <c r="W34" s="107"/>
      <c r="X34" s="21"/>
      <c r="Z34" s="20"/>
      <c r="AA34" s="13"/>
      <c r="AB34" s="13"/>
      <c r="AC34" s="13"/>
      <c r="AD34" s="13"/>
      <c r="AE34" s="13"/>
      <c r="AF34" s="13"/>
      <c r="AG34" s="13"/>
      <c r="AH34" s="13"/>
      <c r="AI34" s="13"/>
      <c r="AJ34" s="13"/>
      <c r="AK34" s="21"/>
    </row>
    <row r="35" spans="1:37" ht="10.5" customHeight="1" x14ac:dyDescent="0.35">
      <c r="B35" s="66" t="s">
        <v>298</v>
      </c>
      <c r="C35" s="15" t="str">
        <f>VLOOKUP(106,T!A2:'T'!K2000,Order!B31+1)</f>
        <v>Spiral rib gas cooler with liquid agents - Electric defroster</v>
      </c>
      <c r="D35" s="67"/>
      <c r="E35" s="67"/>
      <c r="F35" s="67"/>
      <c r="G35" s="40">
        <v>2</v>
      </c>
      <c r="H35" s="17">
        <f>ROUND((Order!AS35*Order!AV35+Order!AT35*Order!AW35+Order!AU35*Order!AX35)*IF(G35&lt;=1,1,IF(G35=2,2,"")),0)</f>
        <v>0</v>
      </c>
      <c r="K35" s="23" t="b">
        <f t="shared" si="0"/>
        <v>0</v>
      </c>
      <c r="L35" s="40">
        <v>2</v>
      </c>
      <c r="M35" s="6"/>
      <c r="N35" s="20" t="str">
        <f>C5</f>
        <v>Plate HE air to air 2x cross flow</v>
      </c>
      <c r="O35" s="107"/>
      <c r="P35" s="13"/>
      <c r="Q35" s="107"/>
      <c r="R35" s="21"/>
      <c r="S35" s="1"/>
      <c r="T35" s="20"/>
      <c r="U35" s="107"/>
      <c r="V35" s="13"/>
      <c r="W35" s="107"/>
      <c r="X35" s="21"/>
      <c r="Z35" s="20"/>
      <c r="AA35" s="13"/>
      <c r="AB35" s="13"/>
      <c r="AC35" s="13"/>
      <c r="AD35" s="13"/>
      <c r="AE35" s="13"/>
      <c r="AF35" s="13"/>
      <c r="AG35" s="13"/>
      <c r="AH35" s="13"/>
      <c r="AI35" s="13"/>
      <c r="AJ35" s="13"/>
      <c r="AK35" s="21"/>
    </row>
    <row r="36" spans="1:37" ht="10.5" customHeight="1" x14ac:dyDescent="0.35">
      <c r="B36" s="12"/>
      <c r="C36" s="13" t="str">
        <f>VLOOKUP(107,T!A2:'T'!K2000,Order!B31+1)</f>
        <v>Spiral rib gas DX-Evaporator with refrigerants - Electric defroster</v>
      </c>
      <c r="D36" s="33"/>
      <c r="E36" s="33"/>
      <c r="F36" s="33"/>
      <c r="G36" s="26">
        <v>2</v>
      </c>
      <c r="H36" s="17">
        <f>ROUND((Order!AS36*Order!AV36+Order!AT36*Order!AW36+Order!AU36*Order!AX36)*IF(G36&lt;=1,1,IF(G36=2,2,"")),0)</f>
        <v>0</v>
      </c>
      <c r="K36" s="24" t="b">
        <f t="shared" si="0"/>
        <v>0</v>
      </c>
      <c r="L36" s="26">
        <v>2</v>
      </c>
      <c r="M36" s="6"/>
      <c r="N36" s="20"/>
      <c r="O36" s="107"/>
      <c r="P36" s="13"/>
      <c r="Q36" s="107"/>
      <c r="R36" s="21"/>
      <c r="S36" s="1"/>
      <c r="T36" s="20"/>
      <c r="U36" s="107"/>
      <c r="V36" s="13"/>
      <c r="W36" s="107"/>
      <c r="X36" s="21"/>
      <c r="Z36" s="20"/>
      <c r="AA36" s="13"/>
      <c r="AB36" s="13"/>
      <c r="AC36" s="13"/>
      <c r="AD36" s="13"/>
      <c r="AE36" s="13"/>
      <c r="AF36" s="13"/>
      <c r="AG36" s="13"/>
      <c r="AH36" s="13"/>
      <c r="AI36" s="13"/>
      <c r="AJ36" s="13"/>
      <c r="AK36" s="21"/>
    </row>
    <row r="37" spans="1:37" ht="10.5" customHeight="1" x14ac:dyDescent="0.35">
      <c r="B37" s="43"/>
      <c r="C37" s="16" t="str">
        <f>VLOOKUP(108,T!A2:'T'!K2000,Order!B31+1)</f>
        <v>Spiral rib gas RC-Evaporator with refrigerants - Electric defroster</v>
      </c>
      <c r="D37" s="34"/>
      <c r="E37" s="34"/>
      <c r="F37" s="34"/>
      <c r="G37" s="41">
        <v>2</v>
      </c>
      <c r="H37" s="17">
        <f>ROUND((Order!AS37*Order!AV37+Order!AT37*Order!AW37+Order!AU37*Order!AX37)*IF(G37&lt;=1,1,IF(G37=2,2,"")),0)</f>
        <v>0</v>
      </c>
      <c r="K37" s="25" t="b">
        <f t="shared" si="0"/>
        <v>0</v>
      </c>
      <c r="L37" s="41">
        <v>2</v>
      </c>
      <c r="M37" s="42"/>
      <c r="N37" s="20"/>
      <c r="O37" s="107"/>
      <c r="P37" s="13"/>
      <c r="Q37" s="107"/>
      <c r="R37" s="21"/>
      <c r="S37" s="1"/>
      <c r="T37" s="20"/>
      <c r="U37" s="107"/>
      <c r="V37" s="13"/>
      <c r="W37" s="107"/>
      <c r="X37" s="21"/>
      <c r="Z37" s="20"/>
      <c r="AA37" s="13"/>
      <c r="AB37" s="13"/>
      <c r="AC37" s="13"/>
      <c r="AD37" s="13"/>
      <c r="AE37" s="13"/>
      <c r="AF37" s="13"/>
      <c r="AG37" s="13"/>
      <c r="AH37" s="13"/>
      <c r="AI37" s="13"/>
      <c r="AJ37" s="13"/>
      <c r="AK37" s="21"/>
    </row>
    <row r="38" spans="1:37" ht="10.5" customHeight="1" x14ac:dyDescent="0.35">
      <c r="B38" s="66" t="s">
        <v>299</v>
      </c>
      <c r="C38" s="68" t="str">
        <f>VLOOKUP(109,T!A2:'T'!K2000,Order!B31+1)</f>
        <v>Glycol cooler dry adiabatic hybrid V-Design-2 Container-Size</v>
      </c>
      <c r="D38" s="67"/>
      <c r="E38" s="67"/>
      <c r="F38" s="67"/>
      <c r="G38" s="40">
        <v>2</v>
      </c>
      <c r="H38" s="18">
        <f>ROUND((Order!AS38*Order!AV38+Order!AT38*Order!AW38+Order!AU38*Order!AX38)*IF(G38&lt;=1,1,IF(G38=2,2,"")),0)</f>
        <v>0</v>
      </c>
      <c r="I38" s="42"/>
      <c r="J38" s="42"/>
      <c r="K38" s="24" t="b">
        <f t="shared" si="0"/>
        <v>0</v>
      </c>
      <c r="L38" s="40">
        <v>2</v>
      </c>
      <c r="M38" s="42"/>
      <c r="N38" s="20"/>
      <c r="O38" s="107"/>
      <c r="P38" s="13"/>
      <c r="Q38" s="107"/>
      <c r="R38" s="21"/>
      <c r="S38" s="1"/>
      <c r="T38" s="20"/>
      <c r="U38" s="107"/>
      <c r="V38" s="13"/>
      <c r="W38" s="107"/>
      <c r="X38" s="21"/>
      <c r="Z38" s="20"/>
      <c r="AA38" s="13"/>
      <c r="AB38" s="13"/>
      <c r="AC38" s="13"/>
      <c r="AD38" s="13"/>
      <c r="AE38" s="13"/>
      <c r="AF38" s="13"/>
      <c r="AG38" s="13"/>
      <c r="AH38" s="13"/>
      <c r="AI38" s="13"/>
      <c r="AJ38" s="13"/>
      <c r="AK38" s="21"/>
    </row>
    <row r="39" spans="1:37" ht="10.5" customHeight="1" x14ac:dyDescent="0.35">
      <c r="B39" s="12"/>
      <c r="C39" s="21" t="str">
        <f>VLOOKUP(110,T!A2:'T'!K2000,Order!B31+1)</f>
        <v>Glycol cooler dry adiabatic hybrid V-Design-2 Big-Size</v>
      </c>
      <c r="D39" s="33"/>
      <c r="E39" s="33"/>
      <c r="F39" s="33"/>
      <c r="G39" s="26">
        <v>2</v>
      </c>
      <c r="H39" s="17">
        <f>ROUND((Order!AS39*Order!AV39+Order!AT39*Order!AW39+Order!AU39*Order!AX39)*IF(G39&lt;=1,1,IF(G39=2,2,"")),0)</f>
        <v>0</v>
      </c>
      <c r="I39" s="42"/>
      <c r="J39" s="42"/>
      <c r="K39" s="24" t="b">
        <f t="shared" si="0"/>
        <v>0</v>
      </c>
      <c r="L39" s="26">
        <v>2</v>
      </c>
      <c r="M39" s="42"/>
      <c r="N39" s="20"/>
      <c r="O39" s="107"/>
      <c r="P39" s="13"/>
      <c r="Q39" s="107"/>
      <c r="R39" s="21"/>
      <c r="S39" s="1"/>
      <c r="T39" s="20"/>
      <c r="U39" s="107"/>
      <c r="V39" s="13"/>
      <c r="W39" s="107"/>
      <c r="X39" s="21"/>
      <c r="Z39" s="20"/>
      <c r="AA39" s="13"/>
      <c r="AB39" s="13"/>
      <c r="AC39" s="13"/>
      <c r="AD39" s="13"/>
      <c r="AE39" s="13"/>
      <c r="AF39" s="13"/>
      <c r="AG39" s="13"/>
      <c r="AH39" s="13"/>
      <c r="AI39" s="13"/>
      <c r="AJ39" s="13"/>
      <c r="AK39" s="21"/>
    </row>
    <row r="40" spans="1:37" ht="10.5" customHeight="1" x14ac:dyDescent="0.35">
      <c r="B40" s="12"/>
      <c r="C40" s="155" t="str">
        <f>VLOOKUP(113,T!A2:'T'!K2000,Order!B31+1)</f>
        <v>Glycol cooler 1 x Hybrid, installed in air-handling units</v>
      </c>
      <c r="D40" s="156"/>
      <c r="E40" s="156"/>
      <c r="F40" s="156"/>
      <c r="G40" s="160">
        <v>2</v>
      </c>
      <c r="H40" s="69">
        <f>ROUND((Order!AS40*Order!AV40+Order!AT40*Order!AW40+Order!AU40*Order!AX40)*IF(G40&lt;=1,1,IF(G40=2,2,"")),0)</f>
        <v>0</v>
      </c>
      <c r="I40" s="42"/>
      <c r="J40" s="42"/>
      <c r="K40" s="24" t="b">
        <f t="shared" si="0"/>
        <v>0</v>
      </c>
      <c r="L40" s="160">
        <v>2</v>
      </c>
      <c r="M40" s="42"/>
      <c r="N40" s="20"/>
      <c r="O40" s="107"/>
      <c r="P40" s="13"/>
      <c r="Q40" s="107"/>
      <c r="R40" s="21"/>
      <c r="S40" s="1"/>
      <c r="T40" s="20"/>
      <c r="U40" s="107"/>
      <c r="V40" s="13"/>
      <c r="W40" s="107"/>
      <c r="X40" s="21"/>
      <c r="Z40" s="20"/>
      <c r="AA40" s="13"/>
      <c r="AB40" s="13"/>
      <c r="AC40" s="13"/>
      <c r="AD40" s="13"/>
      <c r="AE40" s="13"/>
      <c r="AF40" s="13"/>
      <c r="AG40" s="13"/>
      <c r="AH40" s="13"/>
      <c r="AI40" s="13"/>
      <c r="AJ40" s="13"/>
      <c r="AK40" s="21"/>
    </row>
    <row r="41" spans="1:37" ht="10.5" customHeight="1" x14ac:dyDescent="0.35">
      <c r="B41" s="12"/>
      <c r="C41" s="157" t="str">
        <f>VLOOKUP(114,T!A2:'T'!K2000,Order!B31+1)</f>
        <v>Glycol cooler 2 x Hybrid in series, installed in air-handling units</v>
      </c>
      <c r="D41" s="158"/>
      <c r="E41" s="158"/>
      <c r="F41" s="158"/>
      <c r="G41" s="161">
        <v>2</v>
      </c>
      <c r="H41" s="159">
        <f>ROUND((Order!AS41*Order!AV41+Order!AT41*Order!AW41+Order!AU41*Order!AX41)*IF(G41&lt;=1,1,IF(G41=2,2,"")),0)</f>
        <v>0</v>
      </c>
      <c r="I41" s="42"/>
      <c r="J41" s="42"/>
      <c r="K41" s="24" t="b">
        <f t="shared" si="0"/>
        <v>0</v>
      </c>
      <c r="L41" s="161">
        <v>2</v>
      </c>
      <c r="M41" s="42"/>
      <c r="N41" s="20" t="str">
        <f>C6</f>
        <v>Plate HE air to air 1x counter flow</v>
      </c>
      <c r="O41" s="107"/>
      <c r="P41" s="13"/>
      <c r="Q41" s="107"/>
      <c r="R41" s="21"/>
      <c r="S41" s="1"/>
      <c r="T41" s="20"/>
      <c r="U41" s="107"/>
      <c r="V41" s="13"/>
      <c r="W41" s="107"/>
      <c r="X41" s="21"/>
      <c r="Z41" s="20"/>
      <c r="AA41" s="13"/>
      <c r="AB41" s="13"/>
      <c r="AC41" s="13"/>
      <c r="AD41" s="13"/>
      <c r="AE41" s="13"/>
      <c r="AF41" s="13"/>
      <c r="AG41" s="13"/>
      <c r="AH41" s="13"/>
      <c r="AI41" s="13"/>
      <c r="AJ41" s="13"/>
      <c r="AK41" s="21"/>
    </row>
    <row r="42" spans="1:37" ht="10.5" customHeight="1" x14ac:dyDescent="0.35">
      <c r="B42" s="12"/>
      <c r="C42" s="13" t="str">
        <f>VLOOKUP(116,T!A2:'T'!K2000,Order!B31+1)</f>
        <v>Evaporative-Smooth-Tube-Condenser</v>
      </c>
      <c r="D42" s="33"/>
      <c r="E42" s="33"/>
      <c r="F42" s="33"/>
      <c r="G42" s="26">
        <v>2</v>
      </c>
      <c r="H42" s="17">
        <f>ROUND((Order!AS42*Order!AV42+Order!AT42*Order!AW42+Order!AU42*Order!AX42)*IF(G42&lt;=1,1,IF(G42=2,2,"")),0)</f>
        <v>0</v>
      </c>
      <c r="I42" s="42"/>
      <c r="J42" s="42"/>
      <c r="K42" s="24" t="b">
        <f t="shared" si="0"/>
        <v>0</v>
      </c>
      <c r="L42" s="26">
        <v>2</v>
      </c>
      <c r="N42" s="20"/>
      <c r="O42" s="107"/>
      <c r="P42" s="13"/>
      <c r="Q42" s="107"/>
      <c r="R42" s="21"/>
      <c r="S42" s="1"/>
      <c r="T42" s="20"/>
      <c r="U42" s="107"/>
      <c r="V42" s="13"/>
      <c r="W42" s="107"/>
      <c r="X42" s="21"/>
      <c r="Z42" s="20"/>
      <c r="AA42" s="13"/>
      <c r="AB42" s="13"/>
      <c r="AC42" s="13"/>
      <c r="AD42" s="13"/>
      <c r="AE42" s="13"/>
      <c r="AF42" s="13"/>
      <c r="AG42" s="13"/>
      <c r="AH42" s="13"/>
      <c r="AI42" s="13"/>
      <c r="AJ42" s="13"/>
      <c r="AK42" s="21"/>
    </row>
    <row r="43" spans="1:37" ht="10.5" customHeight="1" x14ac:dyDescent="0.35">
      <c r="B43" s="12"/>
      <c r="C43" s="13" t="str">
        <f>VLOOKUP(117,T!A2:'T'!K2000,Order!B31+1)</f>
        <v>Split evaporative-Smooth-Tube-Condenser</v>
      </c>
      <c r="D43" s="33"/>
      <c r="E43" s="33"/>
      <c r="F43" s="33"/>
      <c r="G43" s="26">
        <v>2</v>
      </c>
      <c r="H43" s="17">
        <f>ROUND((Order!AS43*Order!AV43+Order!AT43*Order!AW43+Order!AU43*Order!AX43)*IF(G43&lt;=1,1,IF(G43=2,2,"")),0)</f>
        <v>0</v>
      </c>
      <c r="I43" s="42"/>
      <c r="J43" s="42"/>
      <c r="K43" s="24" t="b">
        <f t="shared" si="0"/>
        <v>0</v>
      </c>
      <c r="L43" s="26">
        <v>2</v>
      </c>
      <c r="M43" s="42"/>
      <c r="N43" s="20"/>
      <c r="O43" s="107"/>
      <c r="P43" s="13"/>
      <c r="Q43" s="107"/>
      <c r="R43" s="21"/>
      <c r="S43" s="1"/>
      <c r="T43" s="20"/>
      <c r="U43" s="107"/>
      <c r="V43" s="13"/>
      <c r="W43" s="107"/>
      <c r="X43" s="21"/>
      <c r="Z43" s="20"/>
      <c r="AA43" s="13"/>
      <c r="AB43" s="13"/>
      <c r="AC43" s="13"/>
      <c r="AD43" s="13"/>
      <c r="AE43" s="13"/>
      <c r="AF43" s="13"/>
      <c r="AG43" s="13"/>
      <c r="AH43" s="13"/>
      <c r="AI43" s="13"/>
      <c r="AJ43" s="13"/>
      <c r="AK43" s="21"/>
    </row>
    <row r="44" spans="1:37" ht="10.5" customHeight="1" x14ac:dyDescent="0.35">
      <c r="B44" s="12"/>
      <c r="C44" s="13" t="str">
        <f>VLOOKUP(118,T!A2:'T'!K2000,Order!B31+1)</f>
        <v>Evaporative-Smooth-Tube-Cooler</v>
      </c>
      <c r="D44" s="33"/>
      <c r="E44" s="33"/>
      <c r="F44" s="33"/>
      <c r="G44" s="26">
        <v>2</v>
      </c>
      <c r="H44" s="17">
        <f>ROUND((Order!AS44*Order!AV44+Order!AT44*Order!AW44+Order!AU44*Order!AX44)*IF(G44&lt;=1,1,IF(G44=2,2,"")),0)</f>
        <v>0</v>
      </c>
      <c r="I44" s="42"/>
      <c r="J44" s="42"/>
      <c r="K44" s="24" t="b">
        <f t="shared" si="0"/>
        <v>0</v>
      </c>
      <c r="L44" s="26">
        <v>2</v>
      </c>
      <c r="M44" s="42"/>
      <c r="N44" s="20"/>
      <c r="O44" s="107"/>
      <c r="P44" s="13"/>
      <c r="Q44" s="107"/>
      <c r="R44" s="21"/>
      <c r="S44" s="1"/>
      <c r="T44" s="20"/>
      <c r="U44" s="107"/>
      <c r="V44" s="13"/>
      <c r="W44" s="107"/>
      <c r="X44" s="21"/>
      <c r="Z44" s="20"/>
      <c r="AA44" s="107"/>
      <c r="AB44" s="13"/>
      <c r="AC44" s="107"/>
      <c r="AD44" s="107"/>
      <c r="AE44" s="107"/>
      <c r="AF44" s="107"/>
      <c r="AG44" s="107"/>
      <c r="AH44" s="107"/>
      <c r="AI44" s="107"/>
      <c r="AJ44" s="107"/>
      <c r="AK44" s="21"/>
    </row>
    <row r="45" spans="1:37" ht="10.5" customHeight="1" x14ac:dyDescent="0.35">
      <c r="B45" s="43"/>
      <c r="C45" s="22" t="str">
        <f>VLOOKUP(119,T!A2:'T'!K2000,Order!B31+1)</f>
        <v>Split evaporative-Smooth-Tube-Cooler</v>
      </c>
      <c r="D45" s="34"/>
      <c r="E45" s="34"/>
      <c r="F45" s="34"/>
      <c r="G45" s="41">
        <v>2</v>
      </c>
      <c r="H45" s="19">
        <f>ROUND((Order!AS45*Order!AV45+Order!AT45*Order!AW45+Order!AU45*Order!AX45)*IF(G45&lt;=1,1,IF(G45=2,2,"")),0)</f>
        <v>0</v>
      </c>
      <c r="I45" s="42"/>
      <c r="J45" s="42"/>
      <c r="K45" s="25" t="b">
        <f t="shared" si="0"/>
        <v>0</v>
      </c>
      <c r="L45" s="41">
        <v>2</v>
      </c>
      <c r="M45" s="42"/>
      <c r="N45" s="20"/>
      <c r="O45" s="107"/>
      <c r="P45" s="13"/>
      <c r="Q45" s="107"/>
      <c r="R45" s="21"/>
      <c r="S45" s="1"/>
      <c r="T45" s="20"/>
      <c r="U45" s="107"/>
      <c r="V45" s="13"/>
      <c r="W45" s="107"/>
      <c r="X45" s="21"/>
      <c r="Z45" s="20"/>
      <c r="AA45" s="107"/>
      <c r="AB45" s="13"/>
      <c r="AC45" s="107"/>
      <c r="AD45" s="107"/>
      <c r="AE45" s="107"/>
      <c r="AF45" s="107"/>
      <c r="AG45" s="107"/>
      <c r="AH45" s="107"/>
      <c r="AI45" s="107"/>
      <c r="AJ45" s="107"/>
      <c r="AK45" s="21"/>
    </row>
    <row r="46" spans="1:37" ht="10.5" customHeight="1" x14ac:dyDescent="0.35">
      <c r="B46" s="66" t="s">
        <v>936</v>
      </c>
      <c r="C46" s="13" t="str">
        <f>CONCATENATE("Microchannel-",VLOOKUP(66,T!A2:'T'!K2000,Order!B31+1))</f>
        <v>Microchannel-Fin coil air heater with liquid agents</v>
      </c>
      <c r="D46" s="33"/>
      <c r="E46" s="33"/>
      <c r="F46" s="33"/>
      <c r="G46" s="26">
        <v>2</v>
      </c>
      <c r="H46" s="18">
        <f>ROUND((Order!AS46*Order!AV46+Order!AT46*Order!AW46+Order!AU46*Order!AX46)*IF(G46&lt;=1,1,IF(G46=2,2,"")),0)</f>
        <v>0</v>
      </c>
      <c r="K46" s="23" t="b">
        <f t="shared" si="0"/>
        <v>0</v>
      </c>
      <c r="L46" s="26">
        <v>2</v>
      </c>
      <c r="M46" s="42"/>
      <c r="N46" s="20"/>
      <c r="O46" s="107"/>
      <c r="P46" s="13"/>
      <c r="Q46" s="107"/>
      <c r="R46" s="21"/>
      <c r="S46" s="1"/>
      <c r="T46" s="20"/>
      <c r="U46" s="107"/>
      <c r="V46" s="13"/>
      <c r="W46" s="107"/>
      <c r="X46" s="21"/>
      <c r="Z46" s="20"/>
      <c r="AA46" s="107"/>
      <c r="AB46" s="13"/>
      <c r="AC46" s="107"/>
      <c r="AD46" s="107"/>
      <c r="AE46" s="107"/>
      <c r="AF46" s="107"/>
      <c r="AG46" s="107"/>
      <c r="AH46" s="107"/>
      <c r="AI46" s="107"/>
      <c r="AJ46" s="107"/>
      <c r="AK46" s="21"/>
    </row>
    <row r="47" spans="1:37" ht="10.5" customHeight="1" x14ac:dyDescent="0.35">
      <c r="B47" s="12"/>
      <c r="C47" s="13" t="str">
        <f>CONCATENATE("Microchannel-",VLOOKUP(67,T!A2:'T'!K2000,Order!B31+1))</f>
        <v>Microchannel-Fin coil air cooler with liquid agents</v>
      </c>
      <c r="D47" s="33"/>
      <c r="E47" s="33"/>
      <c r="F47" s="33"/>
      <c r="G47" s="26">
        <v>2</v>
      </c>
      <c r="H47" s="17">
        <f>ROUND((Order!AS47*Order!AV47+Order!AT47*Order!AW47+Order!AU47*Order!AX47)*IF(G47&lt;=1,1,IF(G47=2,2,"")),0)</f>
        <v>0</v>
      </c>
      <c r="K47" s="24" t="b">
        <f t="shared" si="0"/>
        <v>0</v>
      </c>
      <c r="L47" s="26">
        <v>2</v>
      </c>
      <c r="N47" s="20"/>
      <c r="O47" s="107"/>
      <c r="P47" s="13"/>
      <c r="Q47" s="107"/>
      <c r="R47" s="21"/>
      <c r="S47" s="1"/>
      <c r="T47" s="20"/>
      <c r="U47" s="107"/>
      <c r="V47" s="13"/>
      <c r="W47" s="107"/>
      <c r="X47" s="21"/>
      <c r="Z47" s="20"/>
      <c r="AA47" s="107"/>
      <c r="AB47" s="13"/>
      <c r="AC47" s="107"/>
      <c r="AD47" s="107"/>
      <c r="AE47" s="107"/>
      <c r="AF47" s="107"/>
      <c r="AG47" s="107"/>
      <c r="AH47" s="107"/>
      <c r="AI47" s="107"/>
      <c r="AJ47" s="107"/>
      <c r="AK47" s="21"/>
    </row>
    <row r="48" spans="1:37" ht="10.5" customHeight="1" x14ac:dyDescent="0.35">
      <c r="B48" s="12"/>
      <c r="C48" s="21" t="str">
        <f>CONCATENATE("Microchannel-",VLOOKUP(68,T!A2:'T'!K2000,Order!B31+1))</f>
        <v>Microchannel-Fin coil refrigerant condenser</v>
      </c>
      <c r="D48" s="33"/>
      <c r="E48" s="33"/>
      <c r="F48" s="33"/>
      <c r="G48" s="26">
        <v>2</v>
      </c>
      <c r="H48" s="17">
        <f>ROUND((Order!AS48*Order!AV48+Order!AT48*Order!AW48+Order!AU48*Order!AX48)*IF(G48&lt;=1,1,IF(G48=2,2,"")),0)</f>
        <v>0</v>
      </c>
      <c r="K48" s="24" t="b">
        <f t="shared" si="0"/>
        <v>0</v>
      </c>
      <c r="L48" s="26">
        <v>2</v>
      </c>
      <c r="M48" s="42"/>
      <c r="N48" s="20"/>
      <c r="O48" s="107"/>
      <c r="P48" s="13"/>
      <c r="Q48" s="107"/>
      <c r="R48" s="21"/>
      <c r="S48" s="1"/>
      <c r="T48" s="20"/>
      <c r="U48" s="107"/>
      <c r="V48" s="13"/>
      <c r="W48" s="107"/>
      <c r="X48" s="21"/>
      <c r="Z48" s="20"/>
      <c r="AA48" s="107"/>
      <c r="AB48" s="13"/>
      <c r="AC48" s="107"/>
      <c r="AD48" s="107"/>
      <c r="AE48" s="107"/>
      <c r="AF48" s="107"/>
      <c r="AG48" s="107"/>
      <c r="AH48" s="107"/>
      <c r="AI48" s="107"/>
      <c r="AJ48" s="107"/>
      <c r="AK48" s="21"/>
    </row>
    <row r="49" spans="1:37" ht="10.5" customHeight="1" x14ac:dyDescent="0.35">
      <c r="B49" s="43"/>
      <c r="C49" s="16" t="str">
        <f>CONCATENATE("Microchannel-",VLOOKUP(69,T!A2:'T'!K2000,Order!B31+1))</f>
        <v>Microchannel-Fin coil refrigerant DX-Evaporator</v>
      </c>
      <c r="D49" s="34"/>
      <c r="E49" s="34"/>
      <c r="F49" s="34"/>
      <c r="G49" s="41">
        <v>2</v>
      </c>
      <c r="H49" s="17">
        <f>ROUND((Order!AS49*Order!AV49+Order!AT49*Order!AW49+Order!AU49*Order!AX49)*IF(G49&lt;=1,1,IF(G49=2,2,"")),0)</f>
        <v>0</v>
      </c>
      <c r="K49" s="25" t="b">
        <f t="shared" si="0"/>
        <v>0</v>
      </c>
      <c r="L49" s="41">
        <v>2</v>
      </c>
      <c r="N49" s="20"/>
      <c r="O49" s="107"/>
      <c r="P49" s="13"/>
      <c r="Q49" s="107"/>
      <c r="R49" s="21"/>
      <c r="S49" s="1"/>
      <c r="T49" s="20"/>
      <c r="U49" s="107"/>
      <c r="V49" s="13"/>
      <c r="W49" s="107"/>
      <c r="X49" s="21"/>
      <c r="Z49" s="20"/>
      <c r="AA49" s="107"/>
      <c r="AB49" s="13"/>
      <c r="AC49" s="107"/>
      <c r="AD49" s="107"/>
      <c r="AE49" s="107"/>
      <c r="AF49" s="107"/>
      <c r="AG49" s="107"/>
      <c r="AH49" s="107"/>
      <c r="AI49" s="107"/>
      <c r="AJ49" s="107"/>
      <c r="AK49" s="21"/>
    </row>
    <row r="50" spans="1:37" ht="10.5" customHeight="1" x14ac:dyDescent="0.35">
      <c r="I50" s="2"/>
      <c r="J50" s="2"/>
      <c r="N50" s="20"/>
      <c r="O50" s="107"/>
      <c r="P50" s="13"/>
      <c r="Q50" s="107"/>
      <c r="R50" s="21"/>
      <c r="S50" s="1"/>
      <c r="T50" s="20"/>
      <c r="U50" s="107"/>
      <c r="V50" s="13"/>
      <c r="W50" s="107"/>
      <c r="X50" s="21"/>
      <c r="Z50" s="20"/>
      <c r="AA50" s="107"/>
      <c r="AB50" s="13"/>
      <c r="AC50" s="107"/>
      <c r="AD50" s="107"/>
      <c r="AE50" s="107"/>
      <c r="AF50" s="107"/>
      <c r="AG50" s="107"/>
      <c r="AH50" s="107"/>
      <c r="AI50" s="107"/>
      <c r="AJ50" s="107"/>
      <c r="AK50" s="21"/>
    </row>
    <row r="51" spans="1:37" ht="10.5" customHeight="1" x14ac:dyDescent="0.35">
      <c r="A51" s="42"/>
      <c r="B51" s="316" t="str">
        <f>VLOOKUP(130,T!A2:'T'!K2000,Order!B31+1)</f>
        <v>Introduction to applications</v>
      </c>
      <c r="C51" s="318"/>
      <c r="D51" s="320" t="str">
        <f>VLOOKUP(132,T!A2:'T'!K2000,Order!B31+1)</f>
        <v>Days</v>
      </c>
      <c r="E51" s="40"/>
      <c r="F51" s="40"/>
      <c r="G51" s="40"/>
      <c r="H51" s="321" t="str">
        <f>VLOOKUP(Order!B36,Order!B33:'Order'!D35,2)</f>
        <v>CHF</v>
      </c>
      <c r="I51" s="2"/>
      <c r="J51" s="2"/>
      <c r="N51" s="20"/>
      <c r="O51" s="107"/>
      <c r="P51" s="13"/>
      <c r="Q51" s="107"/>
      <c r="R51" s="21"/>
      <c r="S51" s="1"/>
      <c r="T51" s="20"/>
      <c r="U51" s="107"/>
      <c r="V51" s="13"/>
      <c r="W51" s="107"/>
      <c r="X51" s="21"/>
      <c r="Z51" s="20"/>
      <c r="AA51" s="13"/>
      <c r="AB51" s="13"/>
      <c r="AC51" s="13"/>
      <c r="AD51" s="13"/>
      <c r="AE51" s="13"/>
      <c r="AF51" s="13"/>
      <c r="AG51" s="13"/>
      <c r="AH51" s="13"/>
      <c r="AI51" s="13"/>
      <c r="AJ51" s="13"/>
      <c r="AK51" s="21"/>
    </row>
    <row r="52" spans="1:37" ht="10.5" customHeight="1" x14ac:dyDescent="0.35">
      <c r="A52" s="42"/>
      <c r="B52" s="319"/>
      <c r="C52" s="304"/>
      <c r="D52" s="296"/>
      <c r="E52" s="41"/>
      <c r="F52" s="41"/>
      <c r="G52" s="41"/>
      <c r="H52" s="322"/>
      <c r="I52" s="2"/>
      <c r="J52" s="2"/>
      <c r="N52" s="20"/>
      <c r="O52" s="107"/>
      <c r="P52" s="13"/>
      <c r="Q52" s="107"/>
      <c r="R52" s="21"/>
      <c r="S52" s="1"/>
      <c r="T52" s="20"/>
      <c r="U52" s="107"/>
      <c r="V52" s="13"/>
      <c r="W52" s="107"/>
      <c r="X52" s="21"/>
      <c r="Z52" s="20"/>
      <c r="AA52" s="107"/>
      <c r="AB52" s="13"/>
      <c r="AC52" s="107"/>
      <c r="AD52" s="107"/>
      <c r="AE52" s="107"/>
      <c r="AF52" s="107"/>
      <c r="AG52" s="107"/>
      <c r="AH52" s="107"/>
      <c r="AI52" s="107"/>
      <c r="AJ52" s="107"/>
      <c r="AK52" s="21"/>
    </row>
    <row r="53" spans="1:37" ht="10.5" customHeight="1" x14ac:dyDescent="0.35">
      <c r="A53" s="42"/>
      <c r="B53" s="35" t="s">
        <v>6</v>
      </c>
      <c r="C53" s="36" t="str">
        <f>VLOOKUP(131,T!A2:'T'!K2000,Order!B31+1)</f>
        <v>Training in Bern - 6 hours daily</v>
      </c>
      <c r="D53" s="37"/>
      <c r="E53" s="74"/>
      <c r="F53" s="74"/>
      <c r="G53" s="74"/>
      <c r="H53" s="38">
        <f>ROUND(D53*Order!AS53,0)</f>
        <v>0</v>
      </c>
      <c r="N53" s="20"/>
      <c r="O53" s="107"/>
      <c r="P53" s="13"/>
      <c r="Q53" s="107"/>
      <c r="R53" s="21"/>
      <c r="S53" s="1"/>
      <c r="T53" s="20"/>
      <c r="U53" s="107"/>
      <c r="V53" s="13"/>
      <c r="W53" s="107"/>
      <c r="X53" s="21"/>
      <c r="Z53" s="20"/>
      <c r="AA53" s="107"/>
      <c r="AB53" s="13"/>
      <c r="AC53" s="107"/>
      <c r="AD53" s="107"/>
      <c r="AE53" s="107"/>
      <c r="AF53" s="107"/>
      <c r="AG53" s="107"/>
      <c r="AH53" s="107"/>
      <c r="AI53" s="107"/>
      <c r="AJ53" s="107"/>
      <c r="AK53" s="21"/>
    </row>
    <row r="54" spans="1:37" ht="10.5" customHeight="1" x14ac:dyDescent="0.35">
      <c r="A54" s="42"/>
      <c r="N54" s="20"/>
      <c r="O54" s="107"/>
      <c r="P54" s="13"/>
      <c r="Q54" s="107"/>
      <c r="R54" s="21"/>
      <c r="T54" s="98"/>
      <c r="U54" s="108"/>
      <c r="V54" s="16"/>
      <c r="W54" s="108"/>
      <c r="X54" s="22"/>
      <c r="Z54" s="20"/>
      <c r="AA54" s="107"/>
      <c r="AB54" s="13"/>
      <c r="AC54" s="107"/>
      <c r="AD54" s="107"/>
      <c r="AE54" s="107"/>
      <c r="AF54" s="107"/>
      <c r="AG54" s="107"/>
      <c r="AH54" s="107"/>
      <c r="AI54" s="107"/>
      <c r="AJ54" s="107"/>
      <c r="AK54" s="21"/>
    </row>
    <row r="55" spans="1:37" ht="10.5" customHeight="1" x14ac:dyDescent="0.35">
      <c r="D55" s="65" t="str">
        <f>VLOOKUP(133,T!A2:'T'!K2000,Order!B31+1)</f>
        <v>Total net, prepayment:</v>
      </c>
      <c r="E55" s="39"/>
      <c r="F55" s="39"/>
      <c r="G55" s="30" t="str">
        <f>VLOOKUP(Order!B36,Order!B33:'Order'!D35,2)</f>
        <v>CHF</v>
      </c>
      <c r="H55" s="226">
        <f>SUM(H4:H53)</f>
        <v>0</v>
      </c>
      <c r="N55" s="20"/>
      <c r="O55" s="107"/>
      <c r="P55" s="13"/>
      <c r="Q55" s="107"/>
      <c r="R55" s="21"/>
      <c r="Z55" s="20"/>
      <c r="AA55" s="107"/>
      <c r="AB55" s="13"/>
      <c r="AC55" s="107"/>
      <c r="AD55" s="107"/>
      <c r="AE55" s="107"/>
      <c r="AF55" s="107"/>
      <c r="AG55" s="107"/>
      <c r="AH55" s="107"/>
      <c r="AI55" s="107"/>
      <c r="AJ55" s="107"/>
      <c r="AK55" s="21"/>
    </row>
    <row r="56" spans="1:37" ht="10.5" customHeight="1" x14ac:dyDescent="0.35">
      <c r="C56" s="42"/>
      <c r="D56" s="42"/>
      <c r="E56" s="42"/>
      <c r="F56" s="42"/>
      <c r="G56" s="42"/>
      <c r="H56" s="42"/>
      <c r="N56" s="20" t="str">
        <f>C7</f>
        <v>Thermic rotor</v>
      </c>
      <c r="O56" s="107"/>
      <c r="P56" s="13"/>
      <c r="Q56" s="107"/>
      <c r="R56" s="21"/>
      <c r="T56" s="305" t="s">
        <v>298</v>
      </c>
      <c r="U56" s="306"/>
      <c r="V56" s="306"/>
      <c r="W56" s="306"/>
      <c r="X56" s="307"/>
      <c r="Z56" s="20"/>
      <c r="AA56" s="107"/>
      <c r="AB56" s="13"/>
      <c r="AC56" s="107"/>
      <c r="AD56" s="107"/>
      <c r="AE56" s="107"/>
      <c r="AF56" s="107"/>
      <c r="AG56" s="107"/>
      <c r="AH56" s="107"/>
      <c r="AI56" s="107"/>
      <c r="AJ56" s="107"/>
      <c r="AK56" s="21"/>
    </row>
    <row r="57" spans="1:37" ht="10.5" customHeight="1" x14ac:dyDescent="0.35">
      <c r="C57" s="42"/>
      <c r="D57" s="42"/>
      <c r="E57" s="42"/>
      <c r="F57" s="42"/>
      <c r="G57" s="42"/>
      <c r="H57" s="42"/>
      <c r="N57" s="20" t="str">
        <f>C8</f>
        <v>Sorption rotor</v>
      </c>
      <c r="O57" s="107"/>
      <c r="P57" s="13"/>
      <c r="Q57" s="107"/>
      <c r="R57" s="21"/>
      <c r="T57" s="308"/>
      <c r="U57" s="309"/>
      <c r="V57" s="309"/>
      <c r="W57" s="309"/>
      <c r="X57" s="310"/>
      <c r="Z57" s="20"/>
      <c r="AA57" s="107"/>
      <c r="AB57" s="13"/>
      <c r="AC57" s="107"/>
      <c r="AD57" s="107"/>
      <c r="AE57" s="107"/>
      <c r="AF57" s="107"/>
      <c r="AG57" s="107"/>
      <c r="AH57" s="107"/>
      <c r="AI57" s="107"/>
      <c r="AJ57" s="107"/>
      <c r="AK57" s="21"/>
    </row>
    <row r="58" spans="1:37" ht="10.5" customHeight="1" x14ac:dyDescent="0.35">
      <c r="C58" s="42"/>
      <c r="D58" s="42"/>
      <c r="E58" s="42"/>
      <c r="F58" s="42"/>
      <c r="G58" s="42"/>
      <c r="H58" s="42"/>
      <c r="N58" s="20" t="str">
        <f>C9</f>
        <v>Desiccant rotor</v>
      </c>
      <c r="O58" s="107"/>
      <c r="P58" s="13"/>
      <c r="Q58" s="107"/>
      <c r="R58" s="21"/>
      <c r="T58" s="99"/>
      <c r="U58" s="105"/>
      <c r="V58" s="105"/>
      <c r="W58" s="105"/>
      <c r="X58" s="106"/>
      <c r="Z58" s="20"/>
      <c r="AA58" s="13"/>
      <c r="AB58" s="13"/>
      <c r="AC58" s="13"/>
      <c r="AD58" s="13"/>
      <c r="AE58" s="13"/>
      <c r="AF58" s="13"/>
      <c r="AG58" s="13"/>
      <c r="AH58" s="13"/>
      <c r="AI58" s="13"/>
      <c r="AJ58" s="13"/>
      <c r="AK58" s="21"/>
    </row>
    <row r="59" spans="1:37" ht="10.5" customHeight="1" x14ac:dyDescent="0.35">
      <c r="C59" s="42"/>
      <c r="D59" s="42"/>
      <c r="E59" s="42"/>
      <c r="F59" s="42"/>
      <c r="G59" s="42"/>
      <c r="H59" s="42"/>
      <c r="N59" s="20" t="str">
        <f>C10</f>
        <v>Desiccant rotor system</v>
      </c>
      <c r="O59" s="107"/>
      <c r="P59" s="13"/>
      <c r="Q59" s="107"/>
      <c r="R59" s="21"/>
      <c r="T59" s="351" t="str">
        <f>VLOOKUP(47,T!A2:'T'!K2000,Order!B31+1)</f>
        <v>Applicable for any gases, such as air, which contain environmentally harmful vapors, which can be condensed and separated by cooling. The vapors are in practice mixtures of water vapor and environmentally harmful vapors such as acetone. For this, the laws of Raoult and Dalton are used, which describe how the partial pressure of this mixture can be calculated.</v>
      </c>
      <c r="U59" s="312"/>
      <c r="V59" s="312"/>
      <c r="W59" s="312"/>
      <c r="X59" s="352"/>
      <c r="Z59" s="349" t="str">
        <f>C49</f>
        <v>Microchannel-Fin coil refrigerant DX-Evaporator</v>
      </c>
      <c r="AA59" s="350"/>
      <c r="AB59" s="350"/>
      <c r="AC59" s="350"/>
      <c r="AD59" s="350"/>
      <c r="AE59" s="144"/>
      <c r="AF59" s="144"/>
      <c r="AG59" s="144"/>
      <c r="AH59" s="144"/>
      <c r="AI59" s="144"/>
      <c r="AJ59" s="144"/>
      <c r="AK59" s="170"/>
    </row>
    <row r="60" spans="1:37" ht="10.5" customHeight="1" x14ac:dyDescent="0.35">
      <c r="C60" s="42"/>
      <c r="D60" s="42"/>
      <c r="E60" s="42"/>
      <c r="F60" s="42"/>
      <c r="G60" s="42"/>
      <c r="H60" s="42"/>
      <c r="N60" s="20"/>
      <c r="O60" s="107"/>
      <c r="P60" s="13"/>
      <c r="Q60" s="107"/>
      <c r="R60" s="21"/>
      <c r="T60" s="351"/>
      <c r="U60" s="312"/>
      <c r="V60" s="312"/>
      <c r="W60" s="312"/>
      <c r="X60" s="352"/>
      <c r="Z60" s="20"/>
      <c r="AA60" s="107"/>
      <c r="AB60" s="13"/>
      <c r="AC60" s="107"/>
      <c r="AD60" s="107"/>
      <c r="AE60" s="107"/>
      <c r="AF60" s="107"/>
      <c r="AG60" s="107"/>
      <c r="AH60" s="107"/>
      <c r="AI60" s="107"/>
      <c r="AJ60" s="107"/>
      <c r="AK60" s="21"/>
    </row>
    <row r="61" spans="1:37" ht="10.5" customHeight="1" x14ac:dyDescent="0.35">
      <c r="C61" s="42"/>
      <c r="D61" s="42"/>
      <c r="E61" s="42"/>
      <c r="F61" s="42"/>
      <c r="G61" s="42"/>
      <c r="H61" s="42"/>
      <c r="N61" s="20"/>
      <c r="O61" s="107"/>
      <c r="P61" s="13"/>
      <c r="Q61" s="107"/>
      <c r="R61" s="21"/>
      <c r="T61" s="351"/>
      <c r="U61" s="312"/>
      <c r="V61" s="312"/>
      <c r="W61" s="312"/>
      <c r="X61" s="352"/>
      <c r="Z61" s="20"/>
      <c r="AA61" s="107"/>
      <c r="AB61" s="13"/>
      <c r="AC61" s="107"/>
      <c r="AD61" s="107"/>
      <c r="AE61" s="107"/>
      <c r="AF61" s="107"/>
      <c r="AG61" s="107"/>
      <c r="AH61" s="107"/>
      <c r="AI61" s="107"/>
      <c r="AJ61" s="107"/>
      <c r="AK61" s="21"/>
    </row>
    <row r="62" spans="1:37" ht="10.5" customHeight="1" x14ac:dyDescent="0.35">
      <c r="N62" s="20"/>
      <c r="O62" s="107"/>
      <c r="P62" s="13"/>
      <c r="Q62" s="107"/>
      <c r="R62" s="21"/>
      <c r="T62" s="351"/>
      <c r="U62" s="312"/>
      <c r="V62" s="312"/>
      <c r="W62" s="312"/>
      <c r="X62" s="352"/>
      <c r="Z62" s="20"/>
      <c r="AA62" s="107"/>
      <c r="AB62" s="13"/>
      <c r="AC62" s="107"/>
      <c r="AD62" s="107"/>
      <c r="AE62" s="107"/>
      <c r="AF62" s="107"/>
      <c r="AG62" s="107"/>
      <c r="AH62" s="107"/>
      <c r="AI62" s="107"/>
      <c r="AJ62" s="107"/>
      <c r="AK62" s="21"/>
    </row>
    <row r="63" spans="1:37" ht="10.5" customHeight="1" x14ac:dyDescent="0.35">
      <c r="H63" s="4" t="s">
        <v>1048</v>
      </c>
      <c r="M63" s="42"/>
      <c r="N63" s="20"/>
      <c r="O63" s="107"/>
      <c r="P63" s="13"/>
      <c r="Q63" s="107"/>
      <c r="R63" s="21"/>
      <c r="T63" s="351"/>
      <c r="U63" s="312"/>
      <c r="V63" s="312"/>
      <c r="W63" s="312"/>
      <c r="X63" s="352"/>
      <c r="Z63" s="20"/>
      <c r="AA63" s="107"/>
      <c r="AB63" s="13"/>
      <c r="AC63" s="107"/>
      <c r="AD63" s="107"/>
      <c r="AE63" s="107"/>
      <c r="AF63" s="107"/>
      <c r="AG63" s="107"/>
      <c r="AH63" s="107"/>
      <c r="AI63" s="107"/>
      <c r="AJ63" s="107"/>
      <c r="AK63" s="21"/>
    </row>
    <row r="64" spans="1:37" ht="10.5" customHeight="1" x14ac:dyDescent="0.35">
      <c r="H64" s="4" t="s">
        <v>42</v>
      </c>
      <c r="M64" s="42"/>
      <c r="N64" s="20"/>
      <c r="O64" s="107"/>
      <c r="P64" s="13"/>
      <c r="Q64" s="107"/>
      <c r="R64" s="21"/>
      <c r="T64" s="351"/>
      <c r="U64" s="312"/>
      <c r="V64" s="312"/>
      <c r="W64" s="312"/>
      <c r="X64" s="352"/>
      <c r="Z64" s="20"/>
      <c r="AA64" s="107"/>
      <c r="AB64" s="13"/>
      <c r="AC64" s="107"/>
      <c r="AD64" s="107"/>
      <c r="AE64" s="107"/>
      <c r="AF64" s="107"/>
      <c r="AG64" s="107"/>
      <c r="AH64" s="107"/>
      <c r="AI64" s="107"/>
      <c r="AJ64" s="107"/>
      <c r="AK64" s="21"/>
    </row>
    <row r="65" spans="2:37" ht="10.5" customHeight="1" x14ac:dyDescent="0.35">
      <c r="H65" s="4" t="s">
        <v>48</v>
      </c>
      <c r="M65" s="42"/>
      <c r="N65" s="20"/>
      <c r="O65" s="107"/>
      <c r="P65" s="13"/>
      <c r="Q65" s="107"/>
      <c r="R65" s="21"/>
      <c r="T65" s="20"/>
      <c r="U65" s="107"/>
      <c r="V65" s="13"/>
      <c r="W65" s="107"/>
      <c r="X65" s="21"/>
      <c r="Z65" s="20"/>
      <c r="AA65" s="107"/>
      <c r="AB65" s="13"/>
      <c r="AC65" s="107"/>
      <c r="AD65" s="107"/>
      <c r="AE65" s="107"/>
      <c r="AF65" s="107"/>
      <c r="AG65" s="107"/>
      <c r="AH65" s="107"/>
      <c r="AI65" s="107"/>
      <c r="AJ65" s="107"/>
      <c r="AK65" s="21"/>
    </row>
    <row r="66" spans="2:37" ht="10.5" customHeight="1" x14ac:dyDescent="0.35">
      <c r="H66" s="11" t="s">
        <v>43</v>
      </c>
      <c r="M66" s="42"/>
      <c r="N66" s="20"/>
      <c r="O66" s="107"/>
      <c r="P66" s="13"/>
      <c r="Q66" s="107"/>
      <c r="R66" s="21"/>
      <c r="T66" s="20"/>
      <c r="U66" s="107"/>
      <c r="V66" s="13"/>
      <c r="W66" s="107"/>
      <c r="X66" s="21"/>
      <c r="Z66" s="20"/>
      <c r="AA66" s="107"/>
      <c r="AB66" s="13"/>
      <c r="AC66" s="107"/>
      <c r="AD66" s="107"/>
      <c r="AE66" s="107"/>
      <c r="AF66" s="107"/>
      <c r="AG66" s="107"/>
      <c r="AH66" s="107"/>
      <c r="AI66" s="107"/>
      <c r="AJ66" s="107"/>
      <c r="AK66" s="21"/>
    </row>
    <row r="67" spans="2:37" ht="10.5" customHeight="1" x14ac:dyDescent="0.35">
      <c r="B67" s="1"/>
      <c r="C67" s="1"/>
      <c r="H67" s="11" t="s">
        <v>44</v>
      </c>
      <c r="M67" s="42"/>
      <c r="N67" s="20"/>
      <c r="O67" s="107"/>
      <c r="P67" s="13"/>
      <c r="Q67" s="107"/>
      <c r="R67" s="21"/>
      <c r="T67" s="20"/>
      <c r="U67" s="107"/>
      <c r="V67" s="13"/>
      <c r="W67" s="107"/>
      <c r="X67" s="21"/>
      <c r="Z67" s="20"/>
      <c r="AA67" s="107"/>
      <c r="AB67" s="13"/>
      <c r="AC67" s="107"/>
      <c r="AD67" s="107"/>
      <c r="AE67" s="107"/>
      <c r="AF67" s="107"/>
      <c r="AG67" s="107"/>
      <c r="AH67" s="107"/>
      <c r="AI67" s="107"/>
      <c r="AJ67" s="107"/>
      <c r="AK67" s="21"/>
    </row>
    <row r="68" spans="2:37" ht="10.5" customHeight="1" x14ac:dyDescent="0.35">
      <c r="B68" s="1"/>
      <c r="C68" s="1"/>
      <c r="H68" s="11"/>
      <c r="N68" s="20"/>
      <c r="O68" s="107"/>
      <c r="P68" s="13"/>
      <c r="Q68" s="107"/>
      <c r="R68" s="21"/>
      <c r="T68" s="20"/>
      <c r="U68" s="107"/>
      <c r="V68" s="13"/>
      <c r="W68" s="107"/>
      <c r="X68" s="21"/>
      <c r="Z68" s="20"/>
      <c r="AA68" s="107"/>
      <c r="AB68" s="13"/>
      <c r="AC68" s="107"/>
      <c r="AD68" s="107"/>
      <c r="AE68" s="107"/>
      <c r="AF68" s="107"/>
      <c r="AG68" s="107"/>
      <c r="AH68" s="107"/>
      <c r="AI68" s="107"/>
      <c r="AJ68" s="107"/>
      <c r="AK68" s="21"/>
    </row>
    <row r="69" spans="2:37" ht="10.5" customHeight="1" x14ac:dyDescent="0.35">
      <c r="B69" s="1"/>
      <c r="C69" s="1"/>
      <c r="H69" s="71" t="s">
        <v>45</v>
      </c>
      <c r="N69" s="20"/>
      <c r="O69" s="107"/>
      <c r="P69" s="13"/>
      <c r="Q69" s="107"/>
      <c r="R69" s="21"/>
      <c r="T69" s="349" t="s">
        <v>793</v>
      </c>
      <c r="U69" s="350"/>
      <c r="V69" s="350"/>
      <c r="W69" s="350"/>
      <c r="X69" s="353"/>
      <c r="Z69" s="20"/>
      <c r="AA69" s="107"/>
      <c r="AB69" s="13"/>
      <c r="AC69" s="107"/>
      <c r="AD69" s="107"/>
      <c r="AE69" s="107"/>
      <c r="AF69" s="107"/>
      <c r="AG69" s="107"/>
      <c r="AH69" s="107"/>
      <c r="AI69" s="107"/>
      <c r="AJ69" s="107"/>
      <c r="AK69" s="21"/>
    </row>
    <row r="70" spans="2:37" ht="10.5" customHeight="1" x14ac:dyDescent="0.35">
      <c r="B70" s="1"/>
      <c r="C70" s="1"/>
      <c r="H70" s="71" t="s">
        <v>46</v>
      </c>
      <c r="N70" s="98"/>
      <c r="O70" s="108"/>
      <c r="P70" s="16"/>
      <c r="Q70" s="108"/>
      <c r="R70" s="22"/>
      <c r="T70" s="147"/>
      <c r="U70" s="13"/>
      <c r="V70" s="103"/>
      <c r="W70" s="13"/>
      <c r="X70" s="21"/>
      <c r="Z70" s="20"/>
      <c r="AA70" s="107"/>
      <c r="AB70" s="13"/>
      <c r="AC70" s="107"/>
      <c r="AD70" s="107"/>
      <c r="AE70" s="107"/>
      <c r="AF70" s="107"/>
      <c r="AG70" s="107"/>
      <c r="AH70" s="107"/>
      <c r="AI70" s="107"/>
      <c r="AJ70" s="107"/>
      <c r="AK70" s="21"/>
    </row>
    <row r="71" spans="2:37" ht="10.5" customHeight="1" x14ac:dyDescent="0.35">
      <c r="B71" s="1"/>
      <c r="C71" s="1"/>
      <c r="H71" s="72" t="s">
        <v>47</v>
      </c>
      <c r="T71" s="354" t="s">
        <v>794</v>
      </c>
      <c r="U71" s="355"/>
      <c r="V71" s="355"/>
      <c r="W71" s="355"/>
      <c r="X71" s="356"/>
      <c r="Z71" s="20"/>
      <c r="AA71" s="107"/>
      <c r="AB71" s="13"/>
      <c r="AC71" s="107"/>
      <c r="AD71" s="107"/>
      <c r="AE71" s="107"/>
      <c r="AF71" s="107"/>
      <c r="AG71" s="107"/>
      <c r="AH71" s="107"/>
      <c r="AI71" s="107"/>
      <c r="AJ71" s="107"/>
      <c r="AK71" s="21"/>
    </row>
    <row r="72" spans="2:37" ht="10.5" customHeight="1" x14ac:dyDescent="0.35">
      <c r="B72" s="167"/>
      <c r="C72" s="167"/>
      <c r="D72" s="168"/>
      <c r="E72" s="168"/>
      <c r="F72" s="168"/>
      <c r="G72" s="168"/>
      <c r="H72" s="169"/>
      <c r="N72" s="305" t="str">
        <f>VLOOKUP(162,T!A2:'T'!K2000,Order!B31+1)</f>
        <v>Little used energy recovery systems</v>
      </c>
      <c r="O72" s="306"/>
      <c r="P72" s="306"/>
      <c r="Q72" s="306"/>
      <c r="R72" s="307"/>
      <c r="T72" s="357" t="s">
        <v>795</v>
      </c>
      <c r="U72" s="358"/>
      <c r="V72" s="358"/>
      <c r="W72" s="358"/>
      <c r="X72" s="359"/>
      <c r="Z72" s="20"/>
      <c r="AA72" s="107"/>
      <c r="AB72" s="13"/>
      <c r="AC72" s="107"/>
      <c r="AD72" s="107"/>
      <c r="AE72" s="107"/>
      <c r="AF72" s="107"/>
      <c r="AG72" s="107"/>
      <c r="AH72" s="107"/>
      <c r="AI72" s="107"/>
      <c r="AJ72" s="107"/>
      <c r="AK72" s="21"/>
    </row>
    <row r="73" spans="2:37" ht="10.5" customHeight="1" x14ac:dyDescent="0.35">
      <c r="N73" s="308"/>
      <c r="O73" s="309"/>
      <c r="P73" s="309"/>
      <c r="Q73" s="309"/>
      <c r="R73" s="310"/>
      <c r="T73" s="354" t="s">
        <v>796</v>
      </c>
      <c r="U73" s="355"/>
      <c r="V73" s="355"/>
      <c r="W73" s="355"/>
      <c r="X73" s="356"/>
      <c r="Z73" s="20"/>
      <c r="AA73" s="107"/>
      <c r="AB73" s="13"/>
      <c r="AC73" s="107"/>
      <c r="AD73" s="107"/>
      <c r="AE73" s="107"/>
      <c r="AF73" s="107"/>
      <c r="AG73" s="107"/>
      <c r="AH73" s="107"/>
      <c r="AI73" s="107"/>
      <c r="AJ73" s="107"/>
      <c r="AK73" s="21"/>
    </row>
    <row r="74" spans="2:37" ht="10.5" customHeight="1" x14ac:dyDescent="0.35">
      <c r="N74" s="99"/>
      <c r="O74" s="105"/>
      <c r="P74" s="105"/>
      <c r="Q74" s="105"/>
      <c r="R74" s="106"/>
      <c r="T74" s="20"/>
      <c r="U74" s="107"/>
      <c r="V74" s="13"/>
      <c r="W74" s="107"/>
      <c r="X74" s="21"/>
      <c r="Z74" s="20"/>
      <c r="AA74" s="107"/>
      <c r="AB74" s="13"/>
      <c r="AC74" s="107"/>
      <c r="AD74" s="107"/>
      <c r="AE74" s="107"/>
      <c r="AF74" s="107"/>
      <c r="AG74" s="107"/>
      <c r="AH74" s="107"/>
      <c r="AI74" s="107"/>
      <c r="AJ74" s="107"/>
      <c r="AK74" s="21"/>
    </row>
    <row r="75" spans="2:37" ht="10.5" customHeight="1" x14ac:dyDescent="0.35">
      <c r="B75" s="5"/>
      <c r="N75" s="20" t="str">
        <f>C11</f>
        <v>Thermic regenerator</v>
      </c>
      <c r="O75" s="107"/>
      <c r="P75" s="13"/>
      <c r="Q75" s="107"/>
      <c r="R75" s="21"/>
      <c r="T75" s="20"/>
      <c r="U75" s="107"/>
      <c r="V75" s="13"/>
      <c r="W75" s="107"/>
      <c r="X75" s="21"/>
      <c r="Z75" s="20"/>
      <c r="AA75" s="107"/>
      <c r="AB75" s="13"/>
      <c r="AC75" s="107"/>
      <c r="AD75" s="107"/>
      <c r="AE75" s="107"/>
      <c r="AF75" s="107"/>
      <c r="AG75" s="107"/>
      <c r="AH75" s="107"/>
      <c r="AI75" s="107"/>
      <c r="AJ75" s="107"/>
      <c r="AK75" s="21"/>
    </row>
    <row r="76" spans="2:37" ht="10.5" customHeight="1" x14ac:dyDescent="0.35">
      <c r="B76" s="5"/>
      <c r="N76" s="20" t="str">
        <f>C12</f>
        <v>Sorption regenerator</v>
      </c>
      <c r="O76" s="107"/>
      <c r="P76" s="13"/>
      <c r="Q76" s="107"/>
      <c r="R76" s="21"/>
      <c r="T76" s="20"/>
      <c r="U76" s="107"/>
      <c r="V76" s="13"/>
      <c r="W76" s="107"/>
      <c r="X76" s="21"/>
      <c r="Z76" s="20"/>
      <c r="AA76" s="107"/>
      <c r="AB76" s="13"/>
      <c r="AC76" s="107"/>
      <c r="AD76" s="107"/>
      <c r="AE76" s="107"/>
      <c r="AF76" s="107"/>
      <c r="AG76" s="107"/>
      <c r="AH76" s="107"/>
      <c r="AI76" s="107"/>
      <c r="AJ76" s="107"/>
      <c r="AK76" s="21"/>
    </row>
    <row r="77" spans="2:37" ht="10.5" customHeight="1" x14ac:dyDescent="0.35">
      <c r="B77" s="5"/>
      <c r="N77" s="20" t="str">
        <f>C13</f>
        <v>Desiccant regenerator</v>
      </c>
      <c r="O77" s="107"/>
      <c r="P77" s="13"/>
      <c r="Q77" s="107"/>
      <c r="R77" s="21"/>
      <c r="T77" s="20"/>
      <c r="U77" s="107"/>
      <c r="V77" s="13"/>
      <c r="W77" s="107"/>
      <c r="X77" s="21"/>
      <c r="Z77" s="20"/>
      <c r="AA77" s="107"/>
      <c r="AB77" s="13"/>
      <c r="AC77" s="107"/>
      <c r="AD77" s="107"/>
      <c r="AE77" s="107"/>
      <c r="AF77" s="107"/>
      <c r="AG77" s="107"/>
      <c r="AH77" s="107"/>
      <c r="AI77" s="107"/>
      <c r="AJ77" s="107"/>
      <c r="AK77" s="21"/>
    </row>
    <row r="78" spans="2:37" ht="10.5" customHeight="1" x14ac:dyDescent="0.35">
      <c r="B78" s="5"/>
      <c r="N78" s="20" t="str">
        <f>C14</f>
        <v>Desiccant regenerator system</v>
      </c>
      <c r="O78" s="107"/>
      <c r="P78" s="13"/>
      <c r="Q78" s="107"/>
      <c r="R78" s="21"/>
      <c r="T78" s="20"/>
      <c r="U78" s="107"/>
      <c r="V78" s="13"/>
      <c r="W78" s="107"/>
      <c r="X78" s="21"/>
      <c r="Z78" s="20"/>
      <c r="AA78" s="107"/>
      <c r="AB78" s="13"/>
      <c r="AC78" s="107"/>
      <c r="AD78" s="107"/>
      <c r="AE78" s="107"/>
      <c r="AF78" s="107"/>
      <c r="AG78" s="107"/>
      <c r="AH78" s="107"/>
      <c r="AI78" s="107"/>
      <c r="AJ78" s="107"/>
      <c r="AK78" s="21"/>
    </row>
    <row r="79" spans="2:37" ht="10.5" customHeight="1" x14ac:dyDescent="0.35">
      <c r="B79" s="5"/>
      <c r="N79" s="20"/>
      <c r="O79" s="107"/>
      <c r="P79" s="13"/>
      <c r="Q79" s="107"/>
      <c r="R79" s="21"/>
      <c r="T79" s="20"/>
      <c r="U79" s="107"/>
      <c r="V79" s="13"/>
      <c r="W79" s="107"/>
      <c r="X79" s="21"/>
      <c r="Z79" s="20"/>
      <c r="AA79" s="107"/>
      <c r="AB79" s="13"/>
      <c r="AC79" s="107"/>
      <c r="AD79" s="107"/>
      <c r="AE79" s="107"/>
      <c r="AF79" s="107"/>
      <c r="AG79" s="107"/>
      <c r="AH79" s="107"/>
      <c r="AI79" s="107"/>
      <c r="AJ79" s="107"/>
      <c r="AK79" s="21"/>
    </row>
    <row r="80" spans="2:37" ht="10.5" customHeight="1" x14ac:dyDescent="0.35">
      <c r="B80" s="5"/>
      <c r="N80" s="20"/>
      <c r="O80" s="107"/>
      <c r="P80" s="13"/>
      <c r="Q80" s="107"/>
      <c r="R80" s="21"/>
      <c r="T80" s="20"/>
      <c r="U80" s="107"/>
      <c r="V80" s="13"/>
      <c r="W80" s="107"/>
      <c r="X80" s="21"/>
      <c r="Z80" s="20"/>
      <c r="AA80" s="107"/>
      <c r="AB80" s="13"/>
      <c r="AC80" s="107"/>
      <c r="AD80" s="107"/>
      <c r="AE80" s="107"/>
      <c r="AF80" s="107"/>
      <c r="AG80" s="107"/>
      <c r="AH80" s="107"/>
      <c r="AI80" s="107"/>
      <c r="AJ80" s="107"/>
      <c r="AK80" s="21"/>
    </row>
    <row r="81" spans="2:37" ht="10.5" customHeight="1" x14ac:dyDescent="0.35">
      <c r="B81" s="5"/>
      <c r="N81" s="20"/>
      <c r="O81" s="107"/>
      <c r="P81" s="13"/>
      <c r="Q81" s="107"/>
      <c r="R81" s="21"/>
      <c r="T81" s="20"/>
      <c r="U81" s="107"/>
      <c r="V81" s="13"/>
      <c r="W81" s="107"/>
      <c r="X81" s="21"/>
      <c r="Z81" s="20"/>
      <c r="AA81" s="107"/>
      <c r="AB81" s="13"/>
      <c r="AC81" s="107"/>
      <c r="AD81" s="107"/>
      <c r="AE81" s="107"/>
      <c r="AF81" s="107"/>
      <c r="AG81" s="107"/>
      <c r="AH81" s="107"/>
      <c r="AI81" s="107"/>
      <c r="AJ81" s="107"/>
      <c r="AK81" s="21"/>
    </row>
    <row r="82" spans="2:37" ht="10.5" customHeight="1" x14ac:dyDescent="0.35">
      <c r="B82" s="5"/>
      <c r="N82" s="20"/>
      <c r="O82" s="107"/>
      <c r="P82" s="13"/>
      <c r="Q82" s="107"/>
      <c r="R82" s="21"/>
      <c r="T82" s="20"/>
      <c r="U82" s="107"/>
      <c r="V82" s="13"/>
      <c r="W82" s="107"/>
      <c r="X82" s="21"/>
      <c r="Z82" s="20"/>
      <c r="AA82" s="107"/>
      <c r="AB82" s="13"/>
      <c r="AC82" s="107"/>
      <c r="AD82" s="107"/>
      <c r="AE82" s="107"/>
      <c r="AF82" s="107"/>
      <c r="AG82" s="107"/>
      <c r="AH82" s="107"/>
      <c r="AI82" s="107"/>
      <c r="AJ82" s="107"/>
      <c r="AK82" s="21"/>
    </row>
    <row r="83" spans="2:37" ht="10.5" customHeight="1" x14ac:dyDescent="0.35">
      <c r="N83" s="20"/>
      <c r="O83" s="107"/>
      <c r="P83" s="13"/>
      <c r="Q83" s="107"/>
      <c r="R83" s="21"/>
      <c r="T83" s="20"/>
      <c r="U83" s="107"/>
      <c r="V83" s="13"/>
      <c r="W83" s="107"/>
      <c r="X83" s="21"/>
      <c r="Z83" s="20"/>
      <c r="AA83" s="107"/>
      <c r="AB83" s="13"/>
      <c r="AC83" s="107"/>
      <c r="AD83" s="107"/>
      <c r="AE83" s="107"/>
      <c r="AF83" s="107"/>
      <c r="AG83" s="107"/>
      <c r="AH83" s="107"/>
      <c r="AI83" s="107"/>
      <c r="AJ83" s="107"/>
      <c r="AK83" s="21"/>
    </row>
    <row r="84" spans="2:37" ht="10.5" customHeight="1" x14ac:dyDescent="0.35">
      <c r="N84" s="20"/>
      <c r="O84" s="107"/>
      <c r="P84" s="13"/>
      <c r="Q84" s="107"/>
      <c r="R84" s="21"/>
      <c r="T84" s="20"/>
      <c r="U84" s="107"/>
      <c r="V84" s="13"/>
      <c r="W84" s="107"/>
      <c r="X84" s="21"/>
      <c r="Z84" s="20"/>
      <c r="AA84" s="107"/>
      <c r="AB84" s="13"/>
      <c r="AC84" s="107"/>
      <c r="AD84" s="107"/>
      <c r="AE84" s="107"/>
      <c r="AF84" s="107"/>
      <c r="AG84" s="107"/>
      <c r="AH84" s="107"/>
      <c r="AI84" s="107"/>
      <c r="AJ84" s="107"/>
      <c r="AK84" s="21"/>
    </row>
    <row r="85" spans="2:37" ht="10.5" customHeight="1" x14ac:dyDescent="0.35">
      <c r="N85" s="20"/>
      <c r="O85" s="107"/>
      <c r="P85" s="13"/>
      <c r="Q85" s="107"/>
      <c r="R85" s="21"/>
      <c r="T85" s="20"/>
      <c r="U85" s="107"/>
      <c r="V85" s="13"/>
      <c r="W85" s="107"/>
      <c r="X85" s="21"/>
      <c r="Z85" s="20"/>
      <c r="AA85" s="107"/>
      <c r="AB85" s="13"/>
      <c r="AC85" s="107"/>
      <c r="AD85" s="107"/>
      <c r="AE85" s="107"/>
      <c r="AF85" s="107"/>
      <c r="AG85" s="107"/>
      <c r="AH85" s="107"/>
      <c r="AI85" s="107"/>
      <c r="AJ85" s="107"/>
      <c r="AK85" s="21"/>
    </row>
    <row r="86" spans="2:37" ht="10.5" customHeight="1" x14ac:dyDescent="0.35">
      <c r="N86" s="20"/>
      <c r="O86" s="107"/>
      <c r="P86" s="13"/>
      <c r="Q86" s="107"/>
      <c r="R86" s="21"/>
      <c r="T86" s="20"/>
      <c r="U86" s="107"/>
      <c r="V86" s="13"/>
      <c r="W86" s="107"/>
      <c r="X86" s="21"/>
      <c r="Z86" s="20"/>
      <c r="AA86" s="107"/>
      <c r="AB86" s="13"/>
      <c r="AC86" s="107"/>
      <c r="AD86" s="107"/>
      <c r="AE86" s="107"/>
      <c r="AF86" s="107"/>
      <c r="AG86" s="107"/>
      <c r="AH86" s="107"/>
      <c r="AI86" s="107"/>
      <c r="AJ86" s="107"/>
      <c r="AK86" s="21"/>
    </row>
    <row r="87" spans="2:37" ht="10.5" customHeight="1" x14ac:dyDescent="0.35">
      <c r="N87" s="20"/>
      <c r="O87" s="107"/>
      <c r="P87" s="13"/>
      <c r="Q87" s="107"/>
      <c r="R87" s="21"/>
      <c r="T87" s="20"/>
      <c r="U87" s="107"/>
      <c r="V87" s="13"/>
      <c r="W87" s="107"/>
      <c r="X87" s="21"/>
      <c r="Z87" s="20"/>
      <c r="AA87" s="107"/>
      <c r="AB87" s="13"/>
      <c r="AC87" s="107"/>
      <c r="AD87" s="107"/>
      <c r="AE87" s="107"/>
      <c r="AF87" s="107"/>
      <c r="AG87" s="107"/>
      <c r="AH87" s="107"/>
      <c r="AI87" s="107"/>
      <c r="AJ87" s="107"/>
      <c r="AK87" s="21"/>
    </row>
    <row r="88" spans="2:37" ht="10.5" customHeight="1" x14ac:dyDescent="0.35">
      <c r="N88" s="20"/>
      <c r="O88" s="107"/>
      <c r="P88" s="13"/>
      <c r="Q88" s="107"/>
      <c r="R88" s="21"/>
      <c r="T88" s="20"/>
      <c r="U88" s="107"/>
      <c r="V88" s="13"/>
      <c r="W88" s="107"/>
      <c r="X88" s="21"/>
      <c r="Z88" s="349" t="str">
        <f>C46</f>
        <v>Microchannel-Fin coil air heater with liquid agents</v>
      </c>
      <c r="AA88" s="350"/>
      <c r="AB88" s="350"/>
      <c r="AC88" s="350"/>
      <c r="AD88" s="350"/>
      <c r="AE88" s="144"/>
      <c r="AF88" s="144"/>
      <c r="AG88" s="144"/>
      <c r="AH88" s="144"/>
      <c r="AI88" s="144"/>
      <c r="AJ88" s="144"/>
      <c r="AK88" s="170"/>
    </row>
    <row r="89" spans="2:37" ht="10.5" customHeight="1" x14ac:dyDescent="0.35">
      <c r="N89" s="20"/>
      <c r="O89" s="107"/>
      <c r="P89" s="13"/>
      <c r="Q89" s="107"/>
      <c r="R89" s="21"/>
      <c r="T89" s="20"/>
      <c r="U89" s="107"/>
      <c r="V89" s="13"/>
      <c r="W89" s="107"/>
      <c r="X89" s="21"/>
      <c r="Z89" s="349" t="str">
        <f>C47</f>
        <v>Microchannel-Fin coil air cooler with liquid agents</v>
      </c>
      <c r="AA89" s="350"/>
      <c r="AB89" s="350"/>
      <c r="AC89" s="350"/>
      <c r="AD89" s="350"/>
      <c r="AE89" s="144"/>
      <c r="AF89" s="144"/>
      <c r="AG89" s="144"/>
      <c r="AH89" s="144"/>
      <c r="AI89" s="144"/>
      <c r="AJ89" s="144"/>
      <c r="AK89" s="170"/>
    </row>
    <row r="90" spans="2:37" ht="10.5" customHeight="1" x14ac:dyDescent="0.35">
      <c r="N90" s="20"/>
      <c r="O90" s="107"/>
      <c r="P90" s="13"/>
      <c r="Q90" s="107"/>
      <c r="R90" s="21"/>
      <c r="T90" s="20"/>
      <c r="U90" s="107"/>
      <c r="V90" s="13"/>
      <c r="W90" s="107"/>
      <c r="X90" s="21"/>
      <c r="Z90" s="20"/>
      <c r="AA90" s="13"/>
      <c r="AB90" s="13"/>
      <c r="AC90" s="13"/>
      <c r="AD90" s="13"/>
      <c r="AE90" s="13"/>
      <c r="AF90" s="13"/>
      <c r="AG90" s="13"/>
      <c r="AH90" s="13"/>
      <c r="AI90" s="13"/>
      <c r="AJ90" s="13"/>
      <c r="AK90" s="21"/>
    </row>
    <row r="91" spans="2:37" ht="10.5" customHeight="1" x14ac:dyDescent="0.35">
      <c r="N91" s="20"/>
      <c r="O91" s="107"/>
      <c r="P91" s="13"/>
      <c r="Q91" s="107"/>
      <c r="R91" s="21"/>
      <c r="T91" s="20"/>
      <c r="U91" s="107"/>
      <c r="V91" s="13"/>
      <c r="W91" s="107"/>
      <c r="X91" s="21"/>
      <c r="Z91" s="20"/>
      <c r="AA91" s="107"/>
      <c r="AB91" s="13"/>
      <c r="AC91" s="107"/>
      <c r="AD91" s="107"/>
      <c r="AE91" s="107"/>
      <c r="AF91" s="107"/>
      <c r="AG91" s="107"/>
      <c r="AH91" s="107"/>
      <c r="AI91" s="107"/>
      <c r="AJ91" s="107"/>
      <c r="AK91" s="21"/>
    </row>
    <row r="92" spans="2:37" ht="10.5" customHeight="1" x14ac:dyDescent="0.35">
      <c r="N92" s="20"/>
      <c r="O92" s="107"/>
      <c r="P92" s="13"/>
      <c r="Q92" s="107"/>
      <c r="R92" s="21"/>
      <c r="T92" s="20"/>
      <c r="U92" s="107"/>
      <c r="V92" s="13"/>
      <c r="W92" s="107"/>
      <c r="X92" s="21"/>
      <c r="Z92" s="20"/>
      <c r="AA92" s="107"/>
      <c r="AB92" s="13"/>
      <c r="AC92" s="107"/>
      <c r="AD92" s="107"/>
      <c r="AE92" s="107"/>
      <c r="AF92" s="107"/>
      <c r="AG92" s="107"/>
      <c r="AH92" s="107"/>
      <c r="AI92" s="107"/>
      <c r="AJ92" s="107"/>
      <c r="AK92" s="21"/>
    </row>
    <row r="93" spans="2:37" ht="10.5" customHeight="1" x14ac:dyDescent="0.35">
      <c r="N93" s="20"/>
      <c r="O93" s="107"/>
      <c r="P93" s="13"/>
      <c r="Q93" s="107"/>
      <c r="R93" s="21"/>
      <c r="T93" s="20"/>
      <c r="U93" s="107"/>
      <c r="V93" s="13"/>
      <c r="W93" s="107"/>
      <c r="X93" s="21"/>
      <c r="Z93" s="20"/>
      <c r="AA93" s="107"/>
      <c r="AB93" s="13"/>
      <c r="AC93" s="107"/>
      <c r="AD93" s="107"/>
      <c r="AE93" s="107"/>
      <c r="AF93" s="107"/>
      <c r="AG93" s="107"/>
      <c r="AH93" s="107"/>
      <c r="AI93" s="107"/>
      <c r="AJ93" s="107"/>
      <c r="AK93" s="21"/>
    </row>
    <row r="94" spans="2:37" ht="10.5" customHeight="1" x14ac:dyDescent="0.35">
      <c r="N94" s="20"/>
      <c r="O94" s="107"/>
      <c r="P94" s="13"/>
      <c r="Q94" s="107"/>
      <c r="R94" s="21"/>
      <c r="T94" s="20"/>
      <c r="U94" s="107"/>
      <c r="V94" s="13"/>
      <c r="W94" s="107"/>
      <c r="X94" s="21"/>
      <c r="Z94" s="20"/>
      <c r="AA94" s="107"/>
      <c r="AB94" s="13"/>
      <c r="AC94" s="107"/>
      <c r="AD94" s="107"/>
      <c r="AE94" s="107"/>
      <c r="AF94" s="107"/>
      <c r="AG94" s="107"/>
      <c r="AH94" s="107"/>
      <c r="AI94" s="107"/>
      <c r="AJ94" s="107"/>
      <c r="AK94" s="21"/>
    </row>
    <row r="95" spans="2:37" ht="10.5" customHeight="1" x14ac:dyDescent="0.35">
      <c r="N95" s="20"/>
      <c r="O95" s="107"/>
      <c r="P95" s="13"/>
      <c r="Q95" s="107"/>
      <c r="R95" s="21"/>
      <c r="T95" s="20"/>
      <c r="U95" s="107"/>
      <c r="V95" s="13"/>
      <c r="W95" s="107"/>
      <c r="X95" s="21"/>
      <c r="Z95" s="20"/>
      <c r="AA95" s="107"/>
      <c r="AB95" s="13"/>
      <c r="AC95" s="107"/>
      <c r="AD95" s="107"/>
      <c r="AE95" s="107"/>
      <c r="AF95" s="107"/>
      <c r="AG95" s="107"/>
      <c r="AH95" s="107"/>
      <c r="AI95" s="107"/>
      <c r="AJ95" s="107"/>
      <c r="AK95" s="21"/>
    </row>
    <row r="96" spans="2:37" ht="10.5" customHeight="1" x14ac:dyDescent="0.35">
      <c r="N96" s="20"/>
      <c r="O96" s="107"/>
      <c r="P96" s="13"/>
      <c r="Q96" s="107"/>
      <c r="R96" s="21"/>
      <c r="T96" s="20"/>
      <c r="U96" s="107"/>
      <c r="V96" s="13"/>
      <c r="W96" s="107"/>
      <c r="X96" s="21"/>
      <c r="Z96" s="20"/>
      <c r="AA96" s="107"/>
      <c r="AB96" s="13"/>
      <c r="AC96" s="107"/>
      <c r="AD96" s="107"/>
      <c r="AE96" s="107"/>
      <c r="AF96" s="107"/>
      <c r="AG96" s="107"/>
      <c r="AH96" s="107"/>
      <c r="AI96" s="107"/>
      <c r="AJ96" s="107"/>
      <c r="AK96" s="21"/>
    </row>
    <row r="97" spans="14:37" ht="10.5" customHeight="1" x14ac:dyDescent="0.35">
      <c r="N97" s="20"/>
      <c r="O97" s="107"/>
      <c r="P97" s="13"/>
      <c r="Q97" s="107"/>
      <c r="R97" s="21"/>
      <c r="T97" s="20"/>
      <c r="U97" s="107"/>
      <c r="V97" s="13"/>
      <c r="W97" s="107"/>
      <c r="X97" s="21"/>
      <c r="Z97" s="20"/>
      <c r="AA97" s="107"/>
      <c r="AB97" s="13"/>
      <c r="AC97" s="107"/>
      <c r="AD97" s="107"/>
      <c r="AE97" s="107"/>
      <c r="AF97" s="107"/>
      <c r="AG97" s="107"/>
      <c r="AH97" s="107"/>
      <c r="AI97" s="107"/>
      <c r="AJ97" s="107"/>
      <c r="AK97" s="21"/>
    </row>
    <row r="98" spans="14:37" ht="10.5" customHeight="1" x14ac:dyDescent="0.35">
      <c r="N98" s="98"/>
      <c r="O98" s="108"/>
      <c r="P98" s="16"/>
      <c r="Q98" s="108"/>
      <c r="R98" s="22"/>
      <c r="T98" s="20"/>
      <c r="U98" s="107"/>
      <c r="V98" s="13"/>
      <c r="W98" s="107"/>
      <c r="X98" s="21"/>
      <c r="Z98" s="20"/>
      <c r="AA98" s="107"/>
      <c r="AB98" s="13"/>
      <c r="AC98" s="107"/>
      <c r="AD98" s="107"/>
      <c r="AE98" s="107"/>
      <c r="AF98" s="107"/>
      <c r="AG98" s="107"/>
      <c r="AH98" s="107"/>
      <c r="AI98" s="107"/>
      <c r="AJ98" s="107"/>
      <c r="AK98" s="21"/>
    </row>
    <row r="99" spans="14:37" ht="10.5" customHeight="1" x14ac:dyDescent="0.35">
      <c r="T99" s="20"/>
      <c r="U99" s="107"/>
      <c r="V99" s="13"/>
      <c r="W99" s="107"/>
      <c r="X99" s="21"/>
      <c r="Z99" s="20"/>
      <c r="AA99" s="107"/>
      <c r="AB99" s="13"/>
      <c r="AC99" s="107"/>
      <c r="AD99" s="107"/>
      <c r="AE99" s="107"/>
      <c r="AF99" s="107"/>
      <c r="AG99" s="107"/>
      <c r="AH99" s="107"/>
      <c r="AI99" s="107"/>
      <c r="AJ99" s="107"/>
      <c r="AK99" s="21"/>
    </row>
    <row r="100" spans="14:37" ht="10.5" customHeight="1" x14ac:dyDescent="0.35">
      <c r="N100" s="305" t="str">
        <f>VLOOKUP(163,T!A2:'T'!K2000,Order!B31+1)</f>
        <v>Rarely used energy recovery systems</v>
      </c>
      <c r="O100" s="306"/>
      <c r="P100" s="306"/>
      <c r="Q100" s="306"/>
      <c r="R100" s="307"/>
      <c r="T100" s="20"/>
      <c r="U100" s="107"/>
      <c r="V100" s="13"/>
      <c r="W100" s="107"/>
      <c r="X100" s="21"/>
      <c r="Z100" s="20"/>
      <c r="AA100" s="107"/>
      <c r="AB100" s="13"/>
      <c r="AC100" s="107"/>
      <c r="AD100" s="107"/>
      <c r="AE100" s="107"/>
      <c r="AF100" s="107"/>
      <c r="AG100" s="107"/>
      <c r="AH100" s="107"/>
      <c r="AI100" s="107"/>
      <c r="AJ100" s="107"/>
      <c r="AK100" s="21"/>
    </row>
    <row r="101" spans="14:37" ht="10.5" customHeight="1" x14ac:dyDescent="0.35">
      <c r="N101" s="308"/>
      <c r="O101" s="309"/>
      <c r="P101" s="309"/>
      <c r="Q101" s="309"/>
      <c r="R101" s="310"/>
      <c r="T101" s="20"/>
      <c r="U101" s="107"/>
      <c r="V101" s="13"/>
      <c r="W101" s="107"/>
      <c r="X101" s="21"/>
      <c r="Z101" s="20"/>
      <c r="AA101" s="107"/>
      <c r="AB101" s="13"/>
      <c r="AC101" s="107"/>
      <c r="AD101" s="107"/>
      <c r="AE101" s="107"/>
      <c r="AF101" s="107"/>
      <c r="AG101" s="107"/>
      <c r="AH101" s="107"/>
      <c r="AI101" s="107"/>
      <c r="AJ101" s="107"/>
      <c r="AK101" s="21"/>
    </row>
    <row r="102" spans="14:37" ht="10.5" customHeight="1" x14ac:dyDescent="0.35">
      <c r="N102" s="99"/>
      <c r="O102" s="105"/>
      <c r="P102" s="105"/>
      <c r="Q102" s="105"/>
      <c r="R102" s="106"/>
      <c r="T102" s="20"/>
      <c r="U102" s="107"/>
      <c r="V102" s="13"/>
      <c r="W102" s="107"/>
      <c r="X102" s="21"/>
      <c r="Z102" s="20"/>
      <c r="AA102" s="107"/>
      <c r="AB102" s="13"/>
      <c r="AC102" s="107"/>
      <c r="AD102" s="107"/>
      <c r="AE102" s="107"/>
      <c r="AF102" s="107"/>
      <c r="AG102" s="107"/>
      <c r="AH102" s="107"/>
      <c r="AI102" s="107"/>
      <c r="AJ102" s="107"/>
      <c r="AK102" s="21"/>
    </row>
    <row r="103" spans="14:37" ht="10.5" customHeight="1" x14ac:dyDescent="0.35">
      <c r="N103" s="20" t="str">
        <f>C15</f>
        <v>Smooth tube HE air to air 1 cross flow exhaust outside</v>
      </c>
      <c r="O103" s="107"/>
      <c r="P103" s="13"/>
      <c r="Q103" s="107"/>
      <c r="R103" s="21"/>
      <c r="T103" s="20"/>
      <c r="U103" s="107"/>
      <c r="V103" s="13"/>
      <c r="W103" s="107"/>
      <c r="X103" s="21"/>
      <c r="Z103" s="20"/>
      <c r="AA103" s="107"/>
      <c r="AB103" s="13"/>
      <c r="AC103" s="107"/>
      <c r="AD103" s="107"/>
      <c r="AE103" s="107"/>
      <c r="AF103" s="107"/>
      <c r="AG103" s="107"/>
      <c r="AH103" s="107"/>
      <c r="AI103" s="107"/>
      <c r="AJ103" s="107"/>
      <c r="AK103" s="21"/>
    </row>
    <row r="104" spans="14:37" ht="10.5" customHeight="1" x14ac:dyDescent="0.35">
      <c r="N104" s="20" t="str">
        <f>C16</f>
        <v>Smooth tube HE air to air 2 cross flow exhaust outside</v>
      </c>
      <c r="O104" s="107"/>
      <c r="P104" s="13"/>
      <c r="Q104" s="107"/>
      <c r="R104" s="21"/>
      <c r="T104" s="20"/>
      <c r="U104" s="107"/>
      <c r="V104" s="13"/>
      <c r="W104" s="107"/>
      <c r="X104" s="21"/>
      <c r="Z104" s="20"/>
      <c r="AA104" s="107"/>
      <c r="AB104" s="13"/>
      <c r="AC104" s="107"/>
      <c r="AD104" s="107"/>
      <c r="AE104" s="107"/>
      <c r="AF104" s="107"/>
      <c r="AG104" s="107"/>
      <c r="AH104" s="107"/>
      <c r="AI104" s="107"/>
      <c r="AJ104" s="107"/>
      <c r="AK104" s="21"/>
    </row>
    <row r="105" spans="14:37" ht="10.5" customHeight="1" x14ac:dyDescent="0.35">
      <c r="N105" s="20" t="str">
        <f>C17</f>
        <v>Smooth tube HE air to air 1 cross flow exhaust inside</v>
      </c>
      <c r="O105" s="107"/>
      <c r="P105" s="13"/>
      <c r="Q105" s="107"/>
      <c r="R105" s="21"/>
      <c r="T105" s="20"/>
      <c r="U105" s="107"/>
      <c r="V105" s="13"/>
      <c r="W105" s="107"/>
      <c r="X105" s="21"/>
      <c r="Z105" s="20"/>
      <c r="AA105" s="107"/>
      <c r="AB105" s="13"/>
      <c r="AC105" s="107"/>
      <c r="AD105" s="107"/>
      <c r="AE105" s="107"/>
      <c r="AF105" s="107"/>
      <c r="AG105" s="107"/>
      <c r="AH105" s="107"/>
      <c r="AI105" s="107"/>
      <c r="AJ105" s="107"/>
      <c r="AK105" s="21"/>
    </row>
    <row r="106" spans="14:37" ht="10.5" customHeight="1" x14ac:dyDescent="0.35">
      <c r="N106" s="20" t="str">
        <f>C18</f>
        <v>Smooth tube HE air to air 2 cross flow exhaust inside</v>
      </c>
      <c r="O106" s="107"/>
      <c r="P106" s="13"/>
      <c r="Q106" s="107"/>
      <c r="R106" s="21"/>
      <c r="T106" s="20"/>
      <c r="U106" s="107"/>
      <c r="V106" s="13"/>
      <c r="W106" s="107"/>
      <c r="X106" s="21"/>
      <c r="Z106" s="20"/>
      <c r="AA106" s="107"/>
      <c r="AB106" s="13"/>
      <c r="AC106" s="107"/>
      <c r="AD106" s="107"/>
      <c r="AE106" s="107"/>
      <c r="AF106" s="107"/>
      <c r="AG106" s="107"/>
      <c r="AH106" s="107"/>
      <c r="AI106" s="107"/>
      <c r="AJ106" s="107"/>
      <c r="AK106" s="21"/>
    </row>
    <row r="107" spans="14:37" ht="10.5" customHeight="1" x14ac:dyDescent="0.35">
      <c r="N107" s="20"/>
      <c r="O107" s="107"/>
      <c r="P107" s="13"/>
      <c r="Q107" s="107"/>
      <c r="R107" s="21"/>
      <c r="T107" s="20"/>
      <c r="U107" s="107"/>
      <c r="V107" s="13"/>
      <c r="W107" s="107"/>
      <c r="X107" s="21"/>
      <c r="Z107" s="20"/>
      <c r="AA107" s="107"/>
      <c r="AB107" s="13"/>
      <c r="AC107" s="107"/>
      <c r="AD107" s="107"/>
      <c r="AE107" s="107"/>
      <c r="AF107" s="107"/>
      <c r="AG107" s="107"/>
      <c r="AH107" s="107"/>
      <c r="AI107" s="107"/>
      <c r="AJ107" s="107"/>
      <c r="AK107" s="21"/>
    </row>
    <row r="108" spans="14:37" ht="10.5" customHeight="1" x14ac:dyDescent="0.35">
      <c r="N108" s="20"/>
      <c r="O108" s="107"/>
      <c r="P108" s="13"/>
      <c r="Q108" s="107"/>
      <c r="R108" s="21"/>
      <c r="T108" s="20"/>
      <c r="U108" s="107"/>
      <c r="V108" s="13"/>
      <c r="W108" s="107"/>
      <c r="X108" s="21"/>
      <c r="Z108" s="20"/>
      <c r="AA108" s="107"/>
      <c r="AB108" s="13"/>
      <c r="AC108" s="107"/>
      <c r="AD108" s="107"/>
      <c r="AE108" s="107"/>
      <c r="AF108" s="107"/>
      <c r="AG108" s="107"/>
      <c r="AH108" s="107"/>
      <c r="AI108" s="107"/>
      <c r="AJ108" s="107"/>
      <c r="AK108" s="21"/>
    </row>
    <row r="109" spans="14:37" ht="10.5" customHeight="1" x14ac:dyDescent="0.35">
      <c r="N109" s="20"/>
      <c r="O109" s="107"/>
      <c r="P109" s="13"/>
      <c r="Q109" s="107"/>
      <c r="R109" s="21"/>
      <c r="T109" s="20"/>
      <c r="U109" s="107"/>
      <c r="V109" s="13"/>
      <c r="W109" s="107"/>
      <c r="X109" s="21"/>
      <c r="Z109" s="20"/>
      <c r="AA109" s="107"/>
      <c r="AB109" s="13"/>
      <c r="AC109" s="107"/>
      <c r="AD109" s="107"/>
      <c r="AE109" s="107"/>
      <c r="AF109" s="107"/>
      <c r="AG109" s="107"/>
      <c r="AH109" s="107"/>
      <c r="AI109" s="107"/>
      <c r="AJ109" s="107"/>
      <c r="AK109" s="21"/>
    </row>
    <row r="110" spans="14:37" ht="10.5" customHeight="1" x14ac:dyDescent="0.35">
      <c r="N110" s="20"/>
      <c r="O110" s="107"/>
      <c r="P110" s="13"/>
      <c r="Q110" s="107"/>
      <c r="R110" s="21"/>
      <c r="T110" s="20"/>
      <c r="U110" s="107"/>
      <c r="V110" s="13"/>
      <c r="W110" s="107"/>
      <c r="X110" s="21"/>
      <c r="Z110" s="20"/>
      <c r="AA110" s="107"/>
      <c r="AB110" s="13"/>
      <c r="AC110" s="107"/>
      <c r="AD110" s="107"/>
      <c r="AE110" s="107"/>
      <c r="AF110" s="107"/>
      <c r="AG110" s="107"/>
      <c r="AH110" s="107"/>
      <c r="AI110" s="107"/>
      <c r="AJ110" s="107"/>
      <c r="AK110" s="21"/>
    </row>
    <row r="111" spans="14:37" ht="10.5" customHeight="1" x14ac:dyDescent="0.35">
      <c r="N111" s="20"/>
      <c r="O111" s="107"/>
      <c r="P111" s="13"/>
      <c r="Q111" s="107"/>
      <c r="R111" s="21"/>
      <c r="T111" s="20"/>
      <c r="U111" s="107"/>
      <c r="V111" s="13"/>
      <c r="W111" s="107"/>
      <c r="X111" s="21"/>
      <c r="Z111" s="20"/>
      <c r="AA111" s="107"/>
      <c r="AB111" s="13"/>
      <c r="AC111" s="107"/>
      <c r="AD111" s="107"/>
      <c r="AE111" s="107"/>
      <c r="AF111" s="107"/>
      <c r="AG111" s="107"/>
      <c r="AH111" s="107"/>
      <c r="AI111" s="107"/>
      <c r="AJ111" s="107"/>
      <c r="AK111" s="21"/>
    </row>
    <row r="112" spans="14:37" ht="10.5" customHeight="1" x14ac:dyDescent="0.35">
      <c r="N112" s="20"/>
      <c r="O112" s="107"/>
      <c r="P112" s="13"/>
      <c r="Q112" s="107"/>
      <c r="R112" s="21"/>
      <c r="T112" s="20"/>
      <c r="U112" s="107"/>
      <c r="V112" s="13"/>
      <c r="W112" s="107"/>
      <c r="X112" s="21"/>
      <c r="Z112" s="20"/>
      <c r="AA112" s="107"/>
      <c r="AB112" s="13"/>
      <c r="AC112" s="107"/>
      <c r="AD112" s="107"/>
      <c r="AE112" s="107"/>
      <c r="AF112" s="107"/>
      <c r="AG112" s="107"/>
      <c r="AH112" s="107"/>
      <c r="AI112" s="107"/>
      <c r="AJ112" s="107"/>
      <c r="AK112" s="21"/>
    </row>
    <row r="113" spans="14:37" ht="10.5" customHeight="1" x14ac:dyDescent="0.35">
      <c r="N113" s="20"/>
      <c r="O113" s="107"/>
      <c r="P113" s="13"/>
      <c r="Q113" s="107"/>
      <c r="R113" s="21"/>
      <c r="T113" s="20"/>
      <c r="U113" s="107"/>
      <c r="V113" s="13"/>
      <c r="W113" s="107"/>
      <c r="X113" s="21"/>
      <c r="Z113" s="20"/>
      <c r="AA113" s="107"/>
      <c r="AB113" s="13"/>
      <c r="AC113" s="107"/>
      <c r="AD113" s="107"/>
      <c r="AE113" s="107"/>
      <c r="AF113" s="107"/>
      <c r="AG113" s="107"/>
      <c r="AH113" s="107"/>
      <c r="AI113" s="107"/>
      <c r="AJ113" s="107"/>
      <c r="AK113" s="21"/>
    </row>
    <row r="114" spans="14:37" ht="10.5" customHeight="1" x14ac:dyDescent="0.35">
      <c r="N114" s="20"/>
      <c r="O114" s="107"/>
      <c r="P114" s="13"/>
      <c r="Q114" s="107"/>
      <c r="R114" s="21"/>
      <c r="T114" s="20"/>
      <c r="U114" s="107"/>
      <c r="V114" s="13"/>
      <c r="W114" s="107"/>
      <c r="X114" s="21"/>
      <c r="Z114" s="20"/>
      <c r="AA114" s="107"/>
      <c r="AB114" s="13"/>
      <c r="AC114" s="107"/>
      <c r="AD114" s="107"/>
      <c r="AE114" s="107"/>
      <c r="AF114" s="107"/>
      <c r="AG114" s="107"/>
      <c r="AH114" s="107"/>
      <c r="AI114" s="107"/>
      <c r="AJ114" s="107"/>
      <c r="AK114" s="21"/>
    </row>
    <row r="115" spans="14:37" ht="10.5" customHeight="1" x14ac:dyDescent="0.35">
      <c r="N115" s="20"/>
      <c r="O115" s="107"/>
      <c r="P115" s="13"/>
      <c r="Q115" s="107"/>
      <c r="R115" s="21"/>
      <c r="T115" s="20"/>
      <c r="U115" s="107"/>
      <c r="V115" s="13"/>
      <c r="W115" s="107"/>
      <c r="X115" s="21"/>
      <c r="Z115" s="20"/>
      <c r="AA115" s="107"/>
      <c r="AB115" s="13"/>
      <c r="AC115" s="107"/>
      <c r="AD115" s="107"/>
      <c r="AE115" s="107"/>
      <c r="AF115" s="107"/>
      <c r="AG115" s="107"/>
      <c r="AH115" s="107"/>
      <c r="AI115" s="107"/>
      <c r="AJ115" s="107"/>
      <c r="AK115" s="21"/>
    </row>
    <row r="116" spans="14:37" ht="10.5" customHeight="1" x14ac:dyDescent="0.35">
      <c r="N116" s="20"/>
      <c r="O116" s="107"/>
      <c r="P116" s="13"/>
      <c r="Q116" s="107"/>
      <c r="R116" s="21"/>
      <c r="T116" s="20"/>
      <c r="U116" s="107"/>
      <c r="V116" s="13"/>
      <c r="W116" s="107"/>
      <c r="X116" s="21"/>
      <c r="Z116" s="20"/>
      <c r="AA116" s="107"/>
      <c r="AB116" s="13"/>
      <c r="AC116" s="107"/>
      <c r="AD116" s="107"/>
      <c r="AE116" s="107"/>
      <c r="AF116" s="107"/>
      <c r="AG116" s="107"/>
      <c r="AH116" s="107"/>
      <c r="AI116" s="107"/>
      <c r="AJ116" s="107"/>
      <c r="AK116" s="21"/>
    </row>
    <row r="117" spans="14:37" ht="10.5" customHeight="1" x14ac:dyDescent="0.35">
      <c r="N117" s="20"/>
      <c r="O117" s="107"/>
      <c r="P117" s="13"/>
      <c r="Q117" s="107"/>
      <c r="R117" s="21"/>
      <c r="T117" s="20"/>
      <c r="U117" s="107"/>
      <c r="V117" s="13"/>
      <c r="W117" s="107"/>
      <c r="X117" s="21"/>
      <c r="Z117" s="20"/>
      <c r="AA117" s="107"/>
      <c r="AB117" s="13"/>
      <c r="AC117" s="107"/>
      <c r="AD117" s="107"/>
      <c r="AE117" s="107"/>
      <c r="AF117" s="107"/>
      <c r="AG117" s="107"/>
      <c r="AH117" s="107"/>
      <c r="AI117" s="107"/>
      <c r="AJ117" s="107"/>
      <c r="AK117" s="21"/>
    </row>
    <row r="118" spans="14:37" ht="10.5" customHeight="1" x14ac:dyDescent="0.35">
      <c r="N118" s="20"/>
      <c r="O118" s="107"/>
      <c r="P118" s="13"/>
      <c r="Q118" s="107"/>
      <c r="R118" s="21"/>
      <c r="T118" s="20"/>
      <c r="U118" s="107"/>
      <c r="V118" s="13"/>
      <c r="W118" s="107"/>
      <c r="X118" s="21"/>
      <c r="Z118" s="20"/>
      <c r="AA118" s="107"/>
      <c r="AB118" s="13"/>
      <c r="AC118" s="107"/>
      <c r="AD118" s="107"/>
      <c r="AE118" s="107"/>
      <c r="AF118" s="107"/>
      <c r="AG118" s="107"/>
      <c r="AH118" s="107"/>
      <c r="AI118" s="107"/>
      <c r="AJ118" s="107"/>
      <c r="AK118" s="21"/>
    </row>
    <row r="119" spans="14:37" ht="10.5" customHeight="1" x14ac:dyDescent="0.35">
      <c r="N119" s="20"/>
      <c r="O119" s="107"/>
      <c r="P119" s="13"/>
      <c r="Q119" s="107"/>
      <c r="R119" s="21"/>
      <c r="T119" s="20"/>
      <c r="U119" s="107"/>
      <c r="V119" s="13"/>
      <c r="W119" s="107"/>
      <c r="X119" s="21"/>
      <c r="Z119" s="20"/>
      <c r="AA119" s="107"/>
      <c r="AB119" s="13"/>
      <c r="AC119" s="107"/>
      <c r="AD119" s="107"/>
      <c r="AE119" s="107"/>
      <c r="AF119" s="107"/>
      <c r="AG119" s="107"/>
      <c r="AH119" s="107"/>
      <c r="AI119" s="107"/>
      <c r="AJ119" s="107"/>
      <c r="AK119" s="21"/>
    </row>
    <row r="120" spans="14:37" ht="10.5" customHeight="1" x14ac:dyDescent="0.35">
      <c r="N120" s="20"/>
      <c r="O120" s="107"/>
      <c r="P120" s="13"/>
      <c r="Q120" s="107"/>
      <c r="R120" s="21"/>
      <c r="T120" s="98"/>
      <c r="U120" s="108"/>
      <c r="V120" s="16"/>
      <c r="W120" s="108"/>
      <c r="X120" s="22"/>
      <c r="Z120" s="98"/>
      <c r="AA120" s="108"/>
      <c r="AB120" s="16"/>
      <c r="AC120" s="108"/>
      <c r="AD120" s="108"/>
      <c r="AE120" s="108"/>
      <c r="AF120" s="108"/>
      <c r="AG120" s="108"/>
      <c r="AH120" s="108"/>
      <c r="AI120" s="108"/>
      <c r="AJ120" s="108"/>
      <c r="AK120" s="22"/>
    </row>
    <row r="121" spans="14:37" ht="10.5" customHeight="1" x14ac:dyDescent="0.35">
      <c r="N121" s="20"/>
      <c r="O121" s="107"/>
      <c r="P121" s="13"/>
      <c r="Q121" s="107"/>
      <c r="R121" s="21"/>
    </row>
    <row r="122" spans="14:37" ht="10.5" customHeight="1" x14ac:dyDescent="0.35">
      <c r="N122" s="20"/>
      <c r="O122" s="107"/>
      <c r="P122" s="13"/>
      <c r="Q122" s="107"/>
      <c r="R122" s="21"/>
    </row>
    <row r="123" spans="14:37" ht="10.5" customHeight="1" x14ac:dyDescent="0.35">
      <c r="N123" s="20"/>
      <c r="O123" s="107"/>
      <c r="P123" s="13"/>
      <c r="Q123" s="107"/>
      <c r="R123" s="21"/>
    </row>
    <row r="124" spans="14:37" ht="10.5" customHeight="1" x14ac:dyDescent="0.35">
      <c r="N124" s="20"/>
      <c r="O124" s="107"/>
      <c r="P124" s="13"/>
      <c r="Q124" s="107"/>
      <c r="R124" s="21"/>
    </row>
    <row r="125" spans="14:37" ht="10.5" customHeight="1" x14ac:dyDescent="0.35">
      <c r="N125" s="20"/>
      <c r="O125" s="107"/>
      <c r="P125" s="13"/>
      <c r="Q125" s="107"/>
      <c r="R125" s="21"/>
    </row>
    <row r="126" spans="14:37" ht="10.5" customHeight="1" x14ac:dyDescent="0.35">
      <c r="N126" s="98"/>
      <c r="O126" s="108"/>
      <c r="P126" s="16"/>
      <c r="Q126" s="108"/>
      <c r="R126" s="22"/>
    </row>
    <row r="128" spans="14:37" ht="10.5" customHeight="1" x14ac:dyDescent="0.35">
      <c r="N128" s="305" t="s">
        <v>299</v>
      </c>
      <c r="O128" s="306"/>
      <c r="P128" s="306"/>
      <c r="Q128" s="306"/>
      <c r="R128" s="307"/>
    </row>
    <row r="129" spans="14:18" ht="10.5" customHeight="1" x14ac:dyDescent="0.35">
      <c r="N129" s="308"/>
      <c r="O129" s="309"/>
      <c r="P129" s="309"/>
      <c r="Q129" s="309"/>
      <c r="R129" s="310"/>
    </row>
    <row r="130" spans="14:18" ht="10.5" customHeight="1" x14ac:dyDescent="0.35">
      <c r="N130" s="99"/>
      <c r="O130" s="105"/>
      <c r="P130" s="105"/>
      <c r="Q130" s="105"/>
      <c r="R130" s="106"/>
    </row>
    <row r="131" spans="14:18" ht="10.5" customHeight="1" x14ac:dyDescent="0.35">
      <c r="N131" s="20"/>
      <c r="O131" s="107"/>
      <c r="P131" s="13"/>
      <c r="Q131" s="107"/>
      <c r="R131" s="21"/>
    </row>
    <row r="132" spans="14:18" ht="10.5" customHeight="1" x14ac:dyDescent="0.35">
      <c r="N132" s="20"/>
      <c r="O132" s="107"/>
      <c r="P132" s="13"/>
      <c r="Q132" s="107"/>
      <c r="R132" s="21"/>
    </row>
    <row r="133" spans="14:18" ht="10.5" customHeight="1" x14ac:dyDescent="0.35">
      <c r="N133" s="20"/>
      <c r="O133" s="107"/>
      <c r="P133" s="13"/>
      <c r="Q133" s="107"/>
      <c r="R133" s="21"/>
    </row>
    <row r="134" spans="14:18" ht="10.5" customHeight="1" x14ac:dyDescent="0.35">
      <c r="N134" s="20"/>
      <c r="O134" s="107"/>
      <c r="P134" s="13"/>
      <c r="Q134" s="107"/>
      <c r="R134" s="21"/>
    </row>
    <row r="135" spans="14:18" ht="10.5" customHeight="1" x14ac:dyDescent="0.35">
      <c r="N135" s="20"/>
      <c r="O135" s="107"/>
      <c r="P135" s="13"/>
      <c r="Q135" s="107"/>
      <c r="R135" s="21"/>
    </row>
    <row r="136" spans="14:18" ht="10.5" customHeight="1" x14ac:dyDescent="0.35">
      <c r="N136" s="20"/>
      <c r="O136" s="107"/>
      <c r="P136" s="13"/>
      <c r="Q136" s="107"/>
      <c r="R136" s="21"/>
    </row>
    <row r="137" spans="14:18" ht="10.5" customHeight="1" x14ac:dyDescent="0.35">
      <c r="N137" s="20"/>
      <c r="O137" s="107"/>
      <c r="P137" s="13"/>
      <c r="Q137" s="107"/>
      <c r="R137" s="21"/>
    </row>
    <row r="138" spans="14:18" ht="10.5" customHeight="1" x14ac:dyDescent="0.35">
      <c r="N138" s="20"/>
      <c r="O138" s="107"/>
      <c r="P138" s="13"/>
      <c r="Q138" s="107"/>
      <c r="R138" s="21"/>
    </row>
    <row r="139" spans="14:18" ht="10.5" customHeight="1" x14ac:dyDescent="0.35">
      <c r="N139" s="20"/>
      <c r="O139" s="107"/>
      <c r="P139" s="13"/>
      <c r="Q139" s="107"/>
      <c r="R139" s="21"/>
    </row>
    <row r="140" spans="14:18" ht="10.5" customHeight="1" x14ac:dyDescent="0.35">
      <c r="N140" s="20"/>
      <c r="O140" s="107"/>
      <c r="P140" s="13"/>
      <c r="Q140" s="107"/>
      <c r="R140" s="21"/>
    </row>
    <row r="141" spans="14:18" ht="10.5" customHeight="1" x14ac:dyDescent="0.35">
      <c r="N141" s="20"/>
      <c r="O141" s="107"/>
      <c r="P141" s="13"/>
      <c r="Q141" s="107"/>
      <c r="R141" s="21"/>
    </row>
    <row r="142" spans="14:18" ht="10.5" customHeight="1" x14ac:dyDescent="0.35">
      <c r="N142" s="20"/>
      <c r="O142" s="107"/>
      <c r="P142" s="13"/>
      <c r="Q142" s="107"/>
      <c r="R142" s="21"/>
    </row>
    <row r="143" spans="14:18" ht="10.5" customHeight="1" x14ac:dyDescent="0.35">
      <c r="N143" s="98"/>
      <c r="O143" s="108"/>
      <c r="P143" s="16"/>
      <c r="Q143" s="108"/>
      <c r="R143" s="22"/>
    </row>
  </sheetData>
  <sheetProtection algorithmName="SHA-512" hashValue="cUMJWsd2VsqbfiN0fBU4ZUlHUiGHyKnzNxuE47KJs6qMa1e1l6DZ319RSC74IgFpz6BkGods8gj7+J4j0okdWg==" saltValue="8dMkwLoU+UMYGRE1xtLUUg==" spinCount="100000" sheet="1" objects="1" scenarios="1"/>
  <mergeCells count="37">
    <mergeCell ref="N128:R129"/>
    <mergeCell ref="B51:C52"/>
    <mergeCell ref="D51:D52"/>
    <mergeCell ref="H51:H52"/>
    <mergeCell ref="N100:R101"/>
    <mergeCell ref="N72:R73"/>
    <mergeCell ref="Z24:AD27"/>
    <mergeCell ref="L2:L3"/>
    <mergeCell ref="B2:C3"/>
    <mergeCell ref="D2:D3"/>
    <mergeCell ref="E2:E3"/>
    <mergeCell ref="F2:F3"/>
    <mergeCell ref="G2:G3"/>
    <mergeCell ref="H2:H3"/>
    <mergeCell ref="K2:K3"/>
    <mergeCell ref="AB2:AB3"/>
    <mergeCell ref="T2:X3"/>
    <mergeCell ref="N4:P4"/>
    <mergeCell ref="T17:X18"/>
    <mergeCell ref="N5:P5"/>
    <mergeCell ref="N6:P6"/>
    <mergeCell ref="N10:R15"/>
    <mergeCell ref="N8:R9"/>
    <mergeCell ref="N17:R18"/>
    <mergeCell ref="N2:P3"/>
    <mergeCell ref="Q2:Q3"/>
    <mergeCell ref="R2:R3"/>
    <mergeCell ref="Z29:AD29"/>
    <mergeCell ref="Z59:AD59"/>
    <mergeCell ref="Z89:AD89"/>
    <mergeCell ref="Z88:AD88"/>
    <mergeCell ref="T56:X57"/>
    <mergeCell ref="T59:X64"/>
    <mergeCell ref="T69:X69"/>
    <mergeCell ref="T71:X71"/>
    <mergeCell ref="T72:X72"/>
    <mergeCell ref="T73:X73"/>
  </mergeCells>
  <hyperlinks>
    <hyperlink ref="H69" r:id="rId1" xr:uid="{0C9ACEF3-7C01-4397-8874-96DB7A346114}"/>
    <hyperlink ref="H70" r:id="rId2" xr:uid="{E95913D4-AF9A-46C6-A85E-C32FCE6987AD}"/>
  </hyperlinks>
  <pageMargins left="0.78740157480314965" right="0.51181102362204722" top="0.43307086614173229" bottom="0.62992125984251968" header="0" footer="0"/>
  <pageSetup paperSize="9" orientation="portrait" horizontalDpi="4294967292"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988C-A63D-454C-8D35-0C5E177BDFC2}">
  <sheetPr codeName="Tabelle1"/>
  <dimension ref="A1:E1411"/>
  <sheetViews>
    <sheetView workbookViewId="0">
      <pane ySplit="1" topLeftCell="A2" activePane="bottomLeft" state="frozen"/>
      <selection pane="bottomLeft" activeCell="A6" sqref="A6"/>
    </sheetView>
  </sheetViews>
  <sheetFormatPr baseColWidth="10" defaultColWidth="11.3984375" defaultRowHeight="10.5" customHeight="1" x14ac:dyDescent="0.3"/>
  <cols>
    <col min="1" max="1" width="10.6640625" style="53" customWidth="1"/>
    <col min="2" max="5" width="50.6640625" style="53" customWidth="1"/>
    <col min="6" max="16384" width="11.3984375" style="62"/>
  </cols>
  <sheetData>
    <row r="1" spans="1:5" ht="10.5" customHeight="1" x14ac:dyDescent="0.3">
      <c r="A1" s="46" t="s">
        <v>201</v>
      </c>
      <c r="B1" s="47" t="s">
        <v>202</v>
      </c>
      <c r="C1" s="47" t="s">
        <v>203</v>
      </c>
      <c r="D1" s="47" t="s">
        <v>204</v>
      </c>
      <c r="E1" s="47" t="s">
        <v>205</v>
      </c>
    </row>
    <row r="2" spans="1:5" ht="10.5" customHeight="1" x14ac:dyDescent="0.3">
      <c r="A2" s="48">
        <v>1</v>
      </c>
      <c r="B2" s="49" t="s">
        <v>1026</v>
      </c>
      <c r="C2" s="49" t="s">
        <v>1027</v>
      </c>
      <c r="D2" s="49" t="s">
        <v>1028</v>
      </c>
      <c r="E2" s="49" t="s">
        <v>1027</v>
      </c>
    </row>
    <row r="3" spans="1:5" ht="10.5" customHeight="1" x14ac:dyDescent="0.3">
      <c r="A3" s="48">
        <f t="shared" ref="A3:A66" si="0">A2+1</f>
        <v>2</v>
      </c>
      <c r="B3" s="54" t="s">
        <v>746</v>
      </c>
      <c r="C3" s="54" t="s">
        <v>747</v>
      </c>
      <c r="D3" s="54" t="s">
        <v>748</v>
      </c>
      <c r="E3" s="54" t="s">
        <v>749</v>
      </c>
    </row>
    <row r="4" spans="1:5" ht="10.5" customHeight="1" x14ac:dyDescent="0.3">
      <c r="A4" s="48">
        <f t="shared" si="0"/>
        <v>3</v>
      </c>
      <c r="B4" s="49" t="s">
        <v>1033</v>
      </c>
      <c r="C4" s="49" t="s">
        <v>1034</v>
      </c>
      <c r="D4" s="49" t="s">
        <v>1035</v>
      </c>
      <c r="E4" s="49" t="s">
        <v>1034</v>
      </c>
    </row>
    <row r="5" spans="1:5" ht="10.5" customHeight="1" x14ac:dyDescent="0.3">
      <c r="A5" s="48">
        <f t="shared" si="0"/>
        <v>4</v>
      </c>
      <c r="B5" s="49" t="s">
        <v>844</v>
      </c>
      <c r="C5" s="49" t="s">
        <v>843</v>
      </c>
      <c r="D5" s="49" t="s">
        <v>845</v>
      </c>
      <c r="E5" s="49" t="s">
        <v>846</v>
      </c>
    </row>
    <row r="6" spans="1:5" ht="10.5" customHeight="1" x14ac:dyDescent="0.3">
      <c r="A6" s="48">
        <f>A5+1</f>
        <v>5</v>
      </c>
      <c r="B6" s="54" t="s">
        <v>208</v>
      </c>
      <c r="C6" s="54" t="s">
        <v>91</v>
      </c>
      <c r="D6" s="49" t="s">
        <v>214</v>
      </c>
      <c r="E6" s="49" t="s">
        <v>217</v>
      </c>
    </row>
    <row r="7" spans="1:5" ht="10.5" customHeight="1" x14ac:dyDescent="0.3">
      <c r="A7" s="48">
        <f t="shared" si="0"/>
        <v>6</v>
      </c>
      <c r="B7" s="54" t="s">
        <v>209</v>
      </c>
      <c r="C7" s="54" t="s">
        <v>92</v>
      </c>
      <c r="D7" s="49" t="s">
        <v>215</v>
      </c>
      <c r="E7" s="49" t="s">
        <v>218</v>
      </c>
    </row>
    <row r="8" spans="1:5" ht="10.5" customHeight="1" x14ac:dyDescent="0.3">
      <c r="A8" s="48">
        <f t="shared" si="0"/>
        <v>7</v>
      </c>
      <c r="B8" s="54" t="s">
        <v>210</v>
      </c>
      <c r="C8" s="54" t="s">
        <v>94</v>
      </c>
      <c r="D8" s="49" t="s">
        <v>216</v>
      </c>
      <c r="E8" s="49" t="s">
        <v>219</v>
      </c>
    </row>
    <row r="9" spans="1:5" ht="10.5" customHeight="1" x14ac:dyDescent="0.3">
      <c r="A9" s="48">
        <f t="shared" si="0"/>
        <v>8</v>
      </c>
      <c r="B9" s="54" t="s">
        <v>96</v>
      </c>
      <c r="C9" s="54" t="s">
        <v>96</v>
      </c>
      <c r="D9" s="54" t="s">
        <v>96</v>
      </c>
      <c r="E9" s="49" t="s">
        <v>220</v>
      </c>
    </row>
    <row r="10" spans="1:5" ht="10.5" customHeight="1" x14ac:dyDescent="0.3">
      <c r="A10" s="48">
        <f t="shared" si="0"/>
        <v>9</v>
      </c>
      <c r="B10" s="54" t="s">
        <v>98</v>
      </c>
      <c r="C10" s="54" t="s">
        <v>98</v>
      </c>
      <c r="D10" s="54" t="s">
        <v>98</v>
      </c>
      <c r="E10" s="49" t="s">
        <v>221</v>
      </c>
    </row>
    <row r="11" spans="1:5" ht="10.5" customHeight="1" x14ac:dyDescent="0.3">
      <c r="A11" s="48">
        <f t="shared" si="0"/>
        <v>10</v>
      </c>
      <c r="B11" s="49" t="s">
        <v>222</v>
      </c>
      <c r="C11" s="49" t="s">
        <v>223</v>
      </c>
      <c r="D11" s="49" t="s">
        <v>225</v>
      </c>
      <c r="E11" s="49" t="s">
        <v>224</v>
      </c>
    </row>
    <row r="12" spans="1:5" ht="10.5" customHeight="1" x14ac:dyDescent="0.3">
      <c r="A12" s="48">
        <f t="shared" si="0"/>
        <v>11</v>
      </c>
      <c r="B12" s="49" t="s">
        <v>211</v>
      </c>
      <c r="C12" s="49" t="s">
        <v>196</v>
      </c>
      <c r="D12" s="49" t="s">
        <v>226</v>
      </c>
      <c r="E12" s="49" t="s">
        <v>227</v>
      </c>
    </row>
    <row r="13" spans="1:5" ht="10.5" customHeight="1" x14ac:dyDescent="0.3">
      <c r="A13" s="48">
        <f t="shared" si="0"/>
        <v>12</v>
      </c>
      <c r="B13" s="55" t="s">
        <v>835</v>
      </c>
      <c r="C13" s="55" t="s">
        <v>836</v>
      </c>
      <c r="D13" s="49" t="s">
        <v>826</v>
      </c>
      <c r="E13" s="49" t="s">
        <v>827</v>
      </c>
    </row>
    <row r="14" spans="1:5" ht="10.5" customHeight="1" x14ac:dyDescent="0.3">
      <c r="A14" s="48">
        <f t="shared" si="0"/>
        <v>13</v>
      </c>
      <c r="B14" s="55" t="s">
        <v>212</v>
      </c>
      <c r="C14" s="55" t="s">
        <v>93</v>
      </c>
      <c r="D14" s="49" t="s">
        <v>228</v>
      </c>
      <c r="E14" s="49" t="s">
        <v>229</v>
      </c>
    </row>
    <row r="15" spans="1:5" ht="10.5" customHeight="1" x14ac:dyDescent="0.3">
      <c r="A15" s="48">
        <f t="shared" si="0"/>
        <v>14</v>
      </c>
      <c r="B15" s="55" t="s">
        <v>213</v>
      </c>
      <c r="C15" s="55" t="s">
        <v>95</v>
      </c>
      <c r="D15" s="49" t="s">
        <v>231</v>
      </c>
      <c r="E15" s="49" t="s">
        <v>230</v>
      </c>
    </row>
    <row r="16" spans="1:5" ht="10.5" customHeight="1" x14ac:dyDescent="0.3">
      <c r="A16" s="48">
        <f t="shared" si="0"/>
        <v>15</v>
      </c>
      <c r="B16" s="55" t="s">
        <v>413</v>
      </c>
      <c r="C16" s="55" t="s">
        <v>97</v>
      </c>
      <c r="D16" s="49" t="s">
        <v>232</v>
      </c>
      <c r="E16" s="49" t="s">
        <v>233</v>
      </c>
    </row>
    <row r="17" spans="1:5" ht="10.5" customHeight="1" x14ac:dyDescent="0.3">
      <c r="A17" s="48">
        <f t="shared" si="0"/>
        <v>16</v>
      </c>
      <c r="B17" s="55" t="s">
        <v>405</v>
      </c>
      <c r="C17" s="55" t="s">
        <v>406</v>
      </c>
      <c r="D17" s="49" t="s">
        <v>407</v>
      </c>
      <c r="E17" s="49" t="s">
        <v>408</v>
      </c>
    </row>
    <row r="18" spans="1:5" ht="10.5" customHeight="1" x14ac:dyDescent="0.3">
      <c r="A18" s="48">
        <f t="shared" si="0"/>
        <v>17</v>
      </c>
      <c r="B18" s="56" t="s">
        <v>978</v>
      </c>
      <c r="C18" s="56" t="s">
        <v>979</v>
      </c>
      <c r="D18" s="49" t="s">
        <v>980</v>
      </c>
      <c r="E18" s="49" t="s">
        <v>981</v>
      </c>
    </row>
    <row r="19" spans="1:5" ht="10.5" customHeight="1" x14ac:dyDescent="0.3">
      <c r="A19" s="48">
        <f t="shared" si="0"/>
        <v>18</v>
      </c>
      <c r="B19" s="56" t="s">
        <v>371</v>
      </c>
      <c r="C19" s="56" t="s">
        <v>372</v>
      </c>
      <c r="D19" s="49" t="s">
        <v>373</v>
      </c>
      <c r="E19" s="49" t="s">
        <v>374</v>
      </c>
    </row>
    <row r="20" spans="1:5" ht="10.5" customHeight="1" x14ac:dyDescent="0.3">
      <c r="A20" s="48">
        <f t="shared" si="0"/>
        <v>19</v>
      </c>
      <c r="B20" s="56" t="s">
        <v>848</v>
      </c>
      <c r="C20" s="56" t="s">
        <v>848</v>
      </c>
      <c r="D20" s="49" t="s">
        <v>849</v>
      </c>
      <c r="E20" s="49" t="s">
        <v>848</v>
      </c>
    </row>
    <row r="21" spans="1:5" ht="10.5" customHeight="1" x14ac:dyDescent="0.3">
      <c r="A21" s="48">
        <f t="shared" si="0"/>
        <v>20</v>
      </c>
      <c r="B21" s="49" t="s">
        <v>40</v>
      </c>
      <c r="C21" s="49" t="s">
        <v>982</v>
      </c>
      <c r="D21" s="49" t="s">
        <v>53</v>
      </c>
      <c r="E21" s="49" t="s">
        <v>147</v>
      </c>
    </row>
    <row r="22" spans="1:5" ht="10.5" customHeight="1" x14ac:dyDescent="0.3">
      <c r="A22" s="48">
        <f t="shared" si="0"/>
        <v>21</v>
      </c>
      <c r="B22" s="49" t="s">
        <v>41</v>
      </c>
      <c r="C22" s="49" t="s">
        <v>116</v>
      </c>
      <c r="D22" s="49" t="s">
        <v>61</v>
      </c>
      <c r="E22" s="49" t="s">
        <v>153</v>
      </c>
    </row>
    <row r="23" spans="1:5" ht="10.5" customHeight="1" x14ac:dyDescent="0.3">
      <c r="A23" s="48">
        <f t="shared" si="0"/>
        <v>22</v>
      </c>
      <c r="B23" s="49" t="s">
        <v>0</v>
      </c>
      <c r="C23" s="49" t="s">
        <v>0</v>
      </c>
      <c r="D23" s="49" t="s">
        <v>0</v>
      </c>
      <c r="E23" s="49" t="s">
        <v>0</v>
      </c>
    </row>
    <row r="24" spans="1:5" ht="10.5" customHeight="1" x14ac:dyDescent="0.3">
      <c r="A24" s="48">
        <f t="shared" si="0"/>
        <v>23</v>
      </c>
      <c r="B24" s="49" t="s">
        <v>1</v>
      </c>
      <c r="C24" s="49" t="s">
        <v>1</v>
      </c>
      <c r="D24" s="49" t="s">
        <v>1</v>
      </c>
      <c r="E24" s="49" t="s">
        <v>1</v>
      </c>
    </row>
    <row r="25" spans="1:5" ht="10.5" customHeight="1" x14ac:dyDescent="0.3">
      <c r="A25" s="48">
        <f t="shared" si="0"/>
        <v>24</v>
      </c>
      <c r="B25" s="49" t="s">
        <v>182</v>
      </c>
      <c r="C25" s="49" t="s">
        <v>182</v>
      </c>
      <c r="D25" s="49" t="s">
        <v>182</v>
      </c>
      <c r="E25" s="49" t="s">
        <v>182</v>
      </c>
    </row>
    <row r="26" spans="1:5" ht="10.5" customHeight="1" x14ac:dyDescent="0.3">
      <c r="A26" s="48">
        <f t="shared" si="0"/>
        <v>25</v>
      </c>
      <c r="B26" s="49" t="s">
        <v>17</v>
      </c>
      <c r="C26" s="49" t="s">
        <v>99</v>
      </c>
      <c r="D26" s="49" t="s">
        <v>99</v>
      </c>
      <c r="E26" s="49" t="s">
        <v>99</v>
      </c>
    </row>
    <row r="27" spans="1:5" ht="10.5" customHeight="1" x14ac:dyDescent="0.3">
      <c r="A27" s="48">
        <f t="shared" si="0"/>
        <v>26</v>
      </c>
      <c r="B27" s="49" t="s">
        <v>18</v>
      </c>
      <c r="C27" s="49" t="s">
        <v>18</v>
      </c>
      <c r="D27" s="49" t="s">
        <v>54</v>
      </c>
      <c r="E27" s="49" t="s">
        <v>18</v>
      </c>
    </row>
    <row r="28" spans="1:5" ht="10.5" customHeight="1" x14ac:dyDescent="0.3">
      <c r="A28" s="48">
        <f t="shared" si="0"/>
        <v>27</v>
      </c>
      <c r="B28" s="49" t="s">
        <v>19</v>
      </c>
      <c r="C28" s="49" t="s">
        <v>100</v>
      </c>
      <c r="D28" s="49" t="s">
        <v>55</v>
      </c>
      <c r="E28" s="49" t="s">
        <v>148</v>
      </c>
    </row>
    <row r="29" spans="1:5" ht="10.5" customHeight="1" x14ac:dyDescent="0.3">
      <c r="A29" s="48">
        <f t="shared" si="0"/>
        <v>28</v>
      </c>
      <c r="B29" s="49" t="s">
        <v>234</v>
      </c>
      <c r="C29" s="49" t="s">
        <v>101</v>
      </c>
      <c r="D29" s="49" t="s">
        <v>235</v>
      </c>
      <c r="E29" s="49" t="s">
        <v>236</v>
      </c>
    </row>
    <row r="30" spans="1:5" ht="10.5" customHeight="1" x14ac:dyDescent="0.3">
      <c r="A30" s="48">
        <f t="shared" si="0"/>
        <v>29</v>
      </c>
      <c r="B30" s="49" t="s">
        <v>207</v>
      </c>
      <c r="C30" s="49" t="s">
        <v>108</v>
      </c>
      <c r="D30" s="49" t="s">
        <v>56</v>
      </c>
      <c r="E30" s="49" t="s">
        <v>149</v>
      </c>
    </row>
    <row r="31" spans="1:5" ht="10.5" customHeight="1" x14ac:dyDescent="0.3">
      <c r="A31" s="48">
        <f t="shared" si="0"/>
        <v>30</v>
      </c>
      <c r="B31" s="49" t="s">
        <v>237</v>
      </c>
      <c r="C31" s="54" t="s">
        <v>103</v>
      </c>
      <c r="D31" s="49" t="s">
        <v>245</v>
      </c>
      <c r="E31" s="49" t="s">
        <v>252</v>
      </c>
    </row>
    <row r="32" spans="1:5" ht="10.5" customHeight="1" x14ac:dyDescent="0.3">
      <c r="A32" s="48">
        <f t="shared" si="0"/>
        <v>31</v>
      </c>
      <c r="B32" s="49" t="s">
        <v>238</v>
      </c>
      <c r="C32" s="54" t="s">
        <v>104</v>
      </c>
      <c r="D32" s="49" t="s">
        <v>246</v>
      </c>
      <c r="E32" s="49" t="s">
        <v>253</v>
      </c>
    </row>
    <row r="33" spans="1:5" ht="10.5" customHeight="1" x14ac:dyDescent="0.3">
      <c r="A33" s="48">
        <f t="shared" si="0"/>
        <v>32</v>
      </c>
      <c r="B33" s="49" t="s">
        <v>239</v>
      </c>
      <c r="C33" s="54" t="s">
        <v>183</v>
      </c>
      <c r="D33" s="49" t="s">
        <v>246</v>
      </c>
      <c r="E33" s="49" t="s">
        <v>254</v>
      </c>
    </row>
    <row r="34" spans="1:5" ht="10.5" customHeight="1" x14ac:dyDescent="0.3">
      <c r="A34" s="48">
        <f t="shared" si="0"/>
        <v>33</v>
      </c>
      <c r="B34" s="49" t="s">
        <v>240</v>
      </c>
      <c r="C34" s="54" t="s">
        <v>105</v>
      </c>
      <c r="D34" s="49" t="s">
        <v>247</v>
      </c>
      <c r="E34" s="49" t="s">
        <v>255</v>
      </c>
    </row>
    <row r="35" spans="1:5" ht="10.5" customHeight="1" x14ac:dyDescent="0.3">
      <c r="A35" s="48">
        <f t="shared" si="0"/>
        <v>34</v>
      </c>
      <c r="B35" s="49" t="s">
        <v>241</v>
      </c>
      <c r="C35" s="54" t="s">
        <v>106</v>
      </c>
      <c r="D35" s="49" t="s">
        <v>248</v>
      </c>
      <c r="E35" s="49" t="s">
        <v>256</v>
      </c>
    </row>
    <row r="36" spans="1:5" ht="10.5" customHeight="1" x14ac:dyDescent="0.3">
      <c r="A36" s="48">
        <f t="shared" si="0"/>
        <v>35</v>
      </c>
      <c r="B36" s="49" t="s">
        <v>242</v>
      </c>
      <c r="C36" s="54" t="s">
        <v>107</v>
      </c>
      <c r="D36" s="49" t="s">
        <v>249</v>
      </c>
      <c r="E36" s="49" t="s">
        <v>257</v>
      </c>
    </row>
    <row r="37" spans="1:5" ht="10.5" customHeight="1" x14ac:dyDescent="0.3">
      <c r="A37" s="48">
        <f t="shared" si="0"/>
        <v>36</v>
      </c>
      <c r="B37" s="49" t="s">
        <v>243</v>
      </c>
      <c r="C37" s="54" t="s">
        <v>117</v>
      </c>
      <c r="D37" s="49" t="s">
        <v>250</v>
      </c>
      <c r="E37" s="49" t="s">
        <v>258</v>
      </c>
    </row>
    <row r="38" spans="1:5" ht="10.5" customHeight="1" x14ac:dyDescent="0.3">
      <c r="A38" s="48">
        <f t="shared" si="0"/>
        <v>37</v>
      </c>
      <c r="B38" s="49" t="s">
        <v>244</v>
      </c>
      <c r="C38" s="54" t="s">
        <v>118</v>
      </c>
      <c r="D38" s="49" t="s">
        <v>251</v>
      </c>
      <c r="E38" s="49" t="s">
        <v>259</v>
      </c>
    </row>
    <row r="39" spans="1:5" ht="10.5" customHeight="1" x14ac:dyDescent="0.3">
      <c r="A39" s="48">
        <f t="shared" si="0"/>
        <v>38</v>
      </c>
      <c r="B39" s="54" t="s">
        <v>260</v>
      </c>
      <c r="C39" s="54" t="s">
        <v>261</v>
      </c>
      <c r="D39" s="54" t="s">
        <v>262</v>
      </c>
      <c r="E39" s="54" t="s">
        <v>261</v>
      </c>
    </row>
    <row r="40" spans="1:5" ht="10.5" customHeight="1" x14ac:dyDescent="0.3">
      <c r="A40" s="48">
        <f t="shared" si="0"/>
        <v>39</v>
      </c>
      <c r="B40" s="49" t="s">
        <v>270</v>
      </c>
      <c r="C40" s="54" t="s">
        <v>109</v>
      </c>
      <c r="D40" s="49" t="s">
        <v>268</v>
      </c>
      <c r="E40" s="49" t="s">
        <v>263</v>
      </c>
    </row>
    <row r="41" spans="1:5" ht="10.5" customHeight="1" x14ac:dyDescent="0.3">
      <c r="A41" s="48">
        <f t="shared" si="0"/>
        <v>40</v>
      </c>
      <c r="B41" s="49" t="s">
        <v>273</v>
      </c>
      <c r="C41" s="54" t="s">
        <v>110</v>
      </c>
      <c r="D41" s="49" t="s">
        <v>57</v>
      </c>
      <c r="E41" s="49" t="s">
        <v>264</v>
      </c>
    </row>
    <row r="42" spans="1:5" ht="10.5" customHeight="1" x14ac:dyDescent="0.3">
      <c r="A42" s="48">
        <f t="shared" si="0"/>
        <v>41</v>
      </c>
      <c r="B42" s="49" t="s">
        <v>51</v>
      </c>
      <c r="C42" s="55" t="s">
        <v>111</v>
      </c>
      <c r="D42" s="49" t="s">
        <v>269</v>
      </c>
      <c r="E42" s="49" t="s">
        <v>265</v>
      </c>
    </row>
    <row r="43" spans="1:5" ht="10.5" customHeight="1" x14ac:dyDescent="0.3">
      <c r="A43" s="48">
        <f t="shared" si="0"/>
        <v>42</v>
      </c>
      <c r="B43" s="49" t="s">
        <v>271</v>
      </c>
      <c r="C43" s="55" t="s">
        <v>112</v>
      </c>
      <c r="D43" s="49" t="s">
        <v>274</v>
      </c>
      <c r="E43" s="49" t="s">
        <v>266</v>
      </c>
    </row>
    <row r="44" spans="1:5" ht="10.5" customHeight="1" x14ac:dyDescent="0.3">
      <c r="A44" s="48">
        <f t="shared" si="0"/>
        <v>43</v>
      </c>
      <c r="B44" s="49" t="s">
        <v>272</v>
      </c>
      <c r="C44" s="54" t="s">
        <v>184</v>
      </c>
      <c r="D44" s="49" t="s">
        <v>275</v>
      </c>
      <c r="E44" s="49" t="s">
        <v>267</v>
      </c>
    </row>
    <row r="45" spans="1:5" ht="10.5" customHeight="1" x14ac:dyDescent="0.3">
      <c r="A45" s="48">
        <f t="shared" si="0"/>
        <v>44</v>
      </c>
      <c r="B45" s="49" t="s">
        <v>280</v>
      </c>
      <c r="C45" s="49" t="s">
        <v>276</v>
      </c>
      <c r="D45" s="49" t="s">
        <v>281</v>
      </c>
      <c r="E45" s="49" t="s">
        <v>282</v>
      </c>
    </row>
    <row r="46" spans="1:5" ht="10.5" customHeight="1" x14ac:dyDescent="0.3">
      <c r="A46" s="48">
        <f t="shared" si="0"/>
        <v>45</v>
      </c>
      <c r="B46" s="49" t="s">
        <v>278</v>
      </c>
      <c r="C46" s="49" t="s">
        <v>277</v>
      </c>
      <c r="D46" s="49" t="s">
        <v>279</v>
      </c>
      <c r="E46" s="49" t="s">
        <v>206</v>
      </c>
    </row>
    <row r="47" spans="1:5" ht="10.5" customHeight="1" x14ac:dyDescent="0.3">
      <c r="A47" s="48">
        <f t="shared" si="0"/>
        <v>46</v>
      </c>
      <c r="B47" s="54" t="s">
        <v>1040</v>
      </c>
      <c r="C47" s="54" t="s">
        <v>1041</v>
      </c>
      <c r="D47" s="54" t="s">
        <v>1042</v>
      </c>
      <c r="E47" s="54" t="s">
        <v>1043</v>
      </c>
    </row>
    <row r="48" spans="1:5" ht="10.5" customHeight="1" x14ac:dyDescent="0.3">
      <c r="A48" s="48">
        <f t="shared" si="0"/>
        <v>47</v>
      </c>
      <c r="B48" s="54" t="s">
        <v>789</v>
      </c>
      <c r="C48" s="54" t="s">
        <v>790</v>
      </c>
      <c r="D48" s="54" t="s">
        <v>791</v>
      </c>
      <c r="E48" s="54" t="s">
        <v>792</v>
      </c>
    </row>
    <row r="49" spans="1:5" ht="10.5" customHeight="1" x14ac:dyDescent="0.3">
      <c r="A49" s="48">
        <f t="shared" si="0"/>
        <v>48</v>
      </c>
      <c r="B49" s="54" t="s">
        <v>1044</v>
      </c>
      <c r="C49" s="54" t="s">
        <v>1045</v>
      </c>
      <c r="D49" s="54" t="s">
        <v>1046</v>
      </c>
      <c r="E49" s="54" t="s">
        <v>1047</v>
      </c>
    </row>
    <row r="50" spans="1:5" ht="10.5" customHeight="1" x14ac:dyDescent="0.3">
      <c r="A50" s="48">
        <f t="shared" si="0"/>
        <v>49</v>
      </c>
      <c r="B50" s="54" t="s">
        <v>493</v>
      </c>
      <c r="C50" s="54" t="s">
        <v>499</v>
      </c>
      <c r="D50" s="54" t="s">
        <v>505</v>
      </c>
      <c r="E50" s="54" t="s">
        <v>511</v>
      </c>
    </row>
    <row r="51" spans="1:5" ht="10.5" customHeight="1" x14ac:dyDescent="0.3">
      <c r="A51" s="48">
        <f t="shared" si="0"/>
        <v>50</v>
      </c>
      <c r="B51" s="54" t="s">
        <v>494</v>
      </c>
      <c r="C51" s="54" t="s">
        <v>500</v>
      </c>
      <c r="D51" s="54" t="s">
        <v>506</v>
      </c>
      <c r="E51" s="54" t="s">
        <v>512</v>
      </c>
    </row>
    <row r="52" spans="1:5" ht="10.5" customHeight="1" x14ac:dyDescent="0.3">
      <c r="A52" s="48">
        <f t="shared" si="0"/>
        <v>51</v>
      </c>
      <c r="B52" s="54" t="s">
        <v>495</v>
      </c>
      <c r="C52" s="54" t="s">
        <v>501</v>
      </c>
      <c r="D52" s="54" t="s">
        <v>507</v>
      </c>
      <c r="E52" s="54" t="s">
        <v>513</v>
      </c>
    </row>
    <row r="53" spans="1:5" ht="10.5" customHeight="1" x14ac:dyDescent="0.3">
      <c r="A53" s="48">
        <f t="shared" si="0"/>
        <v>52</v>
      </c>
      <c r="B53" s="54" t="s">
        <v>496</v>
      </c>
      <c r="C53" s="54" t="s">
        <v>502</v>
      </c>
      <c r="D53" s="54" t="s">
        <v>508</v>
      </c>
      <c r="E53" s="54" t="s">
        <v>514</v>
      </c>
    </row>
    <row r="54" spans="1:5" ht="10.5" customHeight="1" x14ac:dyDescent="0.3">
      <c r="A54" s="48">
        <f t="shared" si="0"/>
        <v>53</v>
      </c>
      <c r="B54" s="54" t="s">
        <v>497</v>
      </c>
      <c r="C54" s="54" t="s">
        <v>503</v>
      </c>
      <c r="D54" s="54" t="s">
        <v>509</v>
      </c>
      <c r="E54" s="54" t="s">
        <v>515</v>
      </c>
    </row>
    <row r="55" spans="1:5" ht="10.5" customHeight="1" x14ac:dyDescent="0.3">
      <c r="A55" s="48">
        <f t="shared" si="0"/>
        <v>54</v>
      </c>
      <c r="B55" s="54" t="s">
        <v>498</v>
      </c>
      <c r="C55" s="54" t="s">
        <v>504</v>
      </c>
      <c r="D55" s="54" t="s">
        <v>510</v>
      </c>
      <c r="E55" s="54" t="s">
        <v>516</v>
      </c>
    </row>
    <row r="56" spans="1:5" ht="10.5" customHeight="1" x14ac:dyDescent="0.3">
      <c r="A56" s="48">
        <f t="shared" si="0"/>
        <v>55</v>
      </c>
      <c r="B56" s="54" t="s">
        <v>544</v>
      </c>
      <c r="C56" s="54" t="s">
        <v>553</v>
      </c>
      <c r="D56" s="54" t="s">
        <v>535</v>
      </c>
      <c r="E56" s="54" t="s">
        <v>546</v>
      </c>
    </row>
    <row r="57" spans="1:5" ht="10.5" customHeight="1" x14ac:dyDescent="0.3">
      <c r="A57" s="48">
        <f t="shared" si="0"/>
        <v>56</v>
      </c>
      <c r="B57" s="54" t="s">
        <v>547</v>
      </c>
      <c r="C57" s="54" t="s">
        <v>554</v>
      </c>
      <c r="D57" s="54" t="s">
        <v>536</v>
      </c>
      <c r="E57" s="54" t="s">
        <v>549</v>
      </c>
    </row>
    <row r="58" spans="1:5" ht="10.5" customHeight="1" x14ac:dyDescent="0.3">
      <c r="A58" s="48">
        <f t="shared" si="0"/>
        <v>57</v>
      </c>
      <c r="B58" s="54" t="s">
        <v>555</v>
      </c>
      <c r="C58" s="54" t="s">
        <v>556</v>
      </c>
      <c r="D58" s="54" t="s">
        <v>557</v>
      </c>
      <c r="E58" s="54" t="s">
        <v>558</v>
      </c>
    </row>
    <row r="59" spans="1:5" ht="10.5" customHeight="1" x14ac:dyDescent="0.3">
      <c r="A59" s="48">
        <f t="shared" si="0"/>
        <v>58</v>
      </c>
      <c r="B59" s="54" t="s">
        <v>454</v>
      </c>
      <c r="C59" s="54" t="s">
        <v>455</v>
      </c>
      <c r="D59" s="54" t="s">
        <v>456</v>
      </c>
      <c r="E59" s="54" t="s">
        <v>457</v>
      </c>
    </row>
    <row r="60" spans="1:5" ht="10.5" customHeight="1" x14ac:dyDescent="0.3">
      <c r="A60" s="48">
        <f t="shared" si="0"/>
        <v>59</v>
      </c>
      <c r="B60" s="54" t="s">
        <v>643</v>
      </c>
      <c r="C60" s="54" t="s">
        <v>646</v>
      </c>
      <c r="D60" s="54" t="s">
        <v>649</v>
      </c>
      <c r="E60" s="54" t="s">
        <v>652</v>
      </c>
    </row>
    <row r="61" spans="1:5" ht="10.5" customHeight="1" x14ac:dyDescent="0.3">
      <c r="A61" s="48">
        <f t="shared" si="0"/>
        <v>60</v>
      </c>
      <c r="B61" s="54" t="s">
        <v>644</v>
      </c>
      <c r="C61" s="54" t="s">
        <v>647</v>
      </c>
      <c r="D61" s="54" t="s">
        <v>650</v>
      </c>
      <c r="E61" s="54" t="s">
        <v>653</v>
      </c>
    </row>
    <row r="62" spans="1:5" ht="10.5" customHeight="1" x14ac:dyDescent="0.3">
      <c r="A62" s="48">
        <f t="shared" si="0"/>
        <v>61</v>
      </c>
      <c r="B62" s="54" t="s">
        <v>645</v>
      </c>
      <c r="C62" s="54" t="s">
        <v>648</v>
      </c>
      <c r="D62" s="54" t="s">
        <v>651</v>
      </c>
      <c r="E62" s="54" t="s">
        <v>654</v>
      </c>
    </row>
    <row r="63" spans="1:5" ht="10.5" customHeight="1" x14ac:dyDescent="0.3">
      <c r="A63" s="48">
        <f t="shared" si="0"/>
        <v>62</v>
      </c>
      <c r="B63" s="54" t="s">
        <v>743</v>
      </c>
      <c r="C63" s="54" t="s">
        <v>744</v>
      </c>
      <c r="D63" s="54" t="s">
        <v>745</v>
      </c>
      <c r="E63" s="54" t="s">
        <v>750</v>
      </c>
    </row>
    <row r="64" spans="1:5" ht="10.5" customHeight="1" x14ac:dyDescent="0.3">
      <c r="A64" s="48">
        <f t="shared" si="0"/>
        <v>63</v>
      </c>
      <c r="B64" s="54" t="s">
        <v>24</v>
      </c>
      <c r="C64" s="54" t="s">
        <v>113</v>
      </c>
      <c r="D64" s="54" t="s">
        <v>58</v>
      </c>
      <c r="E64" s="54" t="s">
        <v>150</v>
      </c>
    </row>
    <row r="65" spans="1:5" ht="10.5" customHeight="1" x14ac:dyDescent="0.3">
      <c r="A65" s="48">
        <f t="shared" si="0"/>
        <v>64</v>
      </c>
      <c r="B65" s="54" t="s">
        <v>25</v>
      </c>
      <c r="C65" s="54" t="s">
        <v>114</v>
      </c>
      <c r="D65" s="54" t="s">
        <v>59</v>
      </c>
      <c r="E65" s="54" t="s">
        <v>151</v>
      </c>
    </row>
    <row r="66" spans="1:5" ht="10.5" customHeight="1" x14ac:dyDescent="0.3">
      <c r="A66" s="48">
        <f t="shared" si="0"/>
        <v>65</v>
      </c>
      <c r="B66" s="54" t="s">
        <v>26</v>
      </c>
      <c r="C66" s="54" t="s">
        <v>115</v>
      </c>
      <c r="D66" s="54" t="s">
        <v>60</v>
      </c>
      <c r="E66" s="54" t="s">
        <v>152</v>
      </c>
    </row>
    <row r="67" spans="1:5" ht="10.5" customHeight="1" x14ac:dyDescent="0.3">
      <c r="A67" s="48">
        <f t="shared" ref="A67:A130" si="1">A66+1</f>
        <v>66</v>
      </c>
      <c r="B67" s="54" t="s">
        <v>493</v>
      </c>
      <c r="C67" s="54" t="s">
        <v>499</v>
      </c>
      <c r="D67" s="54" t="s">
        <v>505</v>
      </c>
      <c r="E67" s="54" t="s">
        <v>511</v>
      </c>
    </row>
    <row r="68" spans="1:5" ht="10.5" customHeight="1" x14ac:dyDescent="0.3">
      <c r="A68" s="48">
        <f t="shared" si="1"/>
        <v>67</v>
      </c>
      <c r="B68" s="54" t="s">
        <v>494</v>
      </c>
      <c r="C68" s="54" t="s">
        <v>500</v>
      </c>
      <c r="D68" s="54" t="s">
        <v>506</v>
      </c>
      <c r="E68" s="54" t="s">
        <v>512</v>
      </c>
    </row>
    <row r="69" spans="1:5" ht="10.5" customHeight="1" x14ac:dyDescent="0.3">
      <c r="A69" s="48">
        <f t="shared" si="1"/>
        <v>68</v>
      </c>
      <c r="B69" s="54" t="s">
        <v>495</v>
      </c>
      <c r="C69" s="54" t="s">
        <v>501</v>
      </c>
      <c r="D69" s="54" t="s">
        <v>507</v>
      </c>
      <c r="E69" s="54" t="s">
        <v>513</v>
      </c>
    </row>
    <row r="70" spans="1:5" ht="10.5" customHeight="1" x14ac:dyDescent="0.3">
      <c r="A70" s="48">
        <f t="shared" si="1"/>
        <v>69</v>
      </c>
      <c r="B70" s="54" t="s">
        <v>517</v>
      </c>
      <c r="C70" s="54" t="s">
        <v>523</v>
      </c>
      <c r="D70" s="54" t="s">
        <v>529</v>
      </c>
      <c r="E70" s="54" t="s">
        <v>538</v>
      </c>
    </row>
    <row r="71" spans="1:5" ht="10.5" customHeight="1" x14ac:dyDescent="0.3">
      <c r="A71" s="48">
        <f t="shared" si="1"/>
        <v>70</v>
      </c>
      <c r="B71" s="54" t="s">
        <v>518</v>
      </c>
      <c r="C71" s="54" t="s">
        <v>524</v>
      </c>
      <c r="D71" s="54" t="s">
        <v>530</v>
      </c>
      <c r="E71" s="54" t="s">
        <v>539</v>
      </c>
    </row>
    <row r="72" spans="1:5" ht="10.5" customHeight="1" x14ac:dyDescent="0.3">
      <c r="A72" s="48">
        <f t="shared" si="1"/>
        <v>71</v>
      </c>
      <c r="B72" s="54" t="s">
        <v>498</v>
      </c>
      <c r="C72" s="54" t="s">
        <v>504</v>
      </c>
      <c r="D72" s="54" t="s">
        <v>510</v>
      </c>
      <c r="E72" s="54" t="s">
        <v>516</v>
      </c>
    </row>
    <row r="73" spans="1:5" ht="10.5" customHeight="1" x14ac:dyDescent="0.3">
      <c r="A73" s="48">
        <f t="shared" si="1"/>
        <v>72</v>
      </c>
      <c r="B73" s="54" t="s">
        <v>519</v>
      </c>
      <c r="C73" s="54" t="s">
        <v>525</v>
      </c>
      <c r="D73" s="54" t="s">
        <v>531</v>
      </c>
      <c r="E73" s="54" t="s">
        <v>540</v>
      </c>
    </row>
    <row r="74" spans="1:5" ht="10.5" customHeight="1" x14ac:dyDescent="0.3">
      <c r="A74" s="48">
        <f t="shared" si="1"/>
        <v>73</v>
      </c>
      <c r="B74" s="54" t="s">
        <v>520</v>
      </c>
      <c r="C74" s="54" t="s">
        <v>526</v>
      </c>
      <c r="D74" s="54" t="s">
        <v>532</v>
      </c>
      <c r="E74" s="54" t="s">
        <v>541</v>
      </c>
    </row>
    <row r="75" spans="1:5" ht="10.5" customHeight="1" x14ac:dyDescent="0.3">
      <c r="A75" s="48">
        <f t="shared" si="1"/>
        <v>74</v>
      </c>
      <c r="B75" s="54" t="s">
        <v>521</v>
      </c>
      <c r="C75" s="54" t="s">
        <v>527</v>
      </c>
      <c r="D75" s="54" t="s">
        <v>533</v>
      </c>
      <c r="E75" s="54" t="s">
        <v>542</v>
      </c>
    </row>
    <row r="76" spans="1:5" ht="10.5" customHeight="1" x14ac:dyDescent="0.3">
      <c r="A76" s="48">
        <f t="shared" si="1"/>
        <v>75</v>
      </c>
      <c r="B76" s="54" t="s">
        <v>522</v>
      </c>
      <c r="C76" s="54" t="s">
        <v>528</v>
      </c>
      <c r="D76" s="54" t="s">
        <v>534</v>
      </c>
      <c r="E76" s="54" t="s">
        <v>543</v>
      </c>
    </row>
    <row r="77" spans="1:5" ht="10.5" customHeight="1" x14ac:dyDescent="0.3">
      <c r="A77" s="48">
        <f t="shared" si="1"/>
        <v>76</v>
      </c>
      <c r="B77" s="54" t="s">
        <v>984</v>
      </c>
      <c r="C77" s="54" t="s">
        <v>983</v>
      </c>
      <c r="D77" s="54" t="s">
        <v>989</v>
      </c>
      <c r="E77" s="54" t="s">
        <v>987</v>
      </c>
    </row>
    <row r="78" spans="1:5" ht="10.5" customHeight="1" x14ac:dyDescent="0.3">
      <c r="A78" s="48">
        <f t="shared" si="1"/>
        <v>77</v>
      </c>
      <c r="B78" s="54" t="s">
        <v>985</v>
      </c>
      <c r="C78" s="54" t="s">
        <v>988</v>
      </c>
      <c r="D78" s="54" t="s">
        <v>986</v>
      </c>
      <c r="E78" s="54" t="s">
        <v>990</v>
      </c>
    </row>
    <row r="79" spans="1:5" ht="10.5" customHeight="1" x14ac:dyDescent="0.3">
      <c r="A79" s="48">
        <f t="shared" si="1"/>
        <v>78</v>
      </c>
      <c r="B79" s="54" t="s">
        <v>544</v>
      </c>
      <c r="C79" s="54" t="s">
        <v>545</v>
      </c>
      <c r="D79" s="54" t="s">
        <v>535</v>
      </c>
      <c r="E79" s="54" t="s">
        <v>546</v>
      </c>
    </row>
    <row r="80" spans="1:5" ht="10.5" customHeight="1" x14ac:dyDescent="0.3">
      <c r="A80" s="48">
        <f t="shared" si="1"/>
        <v>79</v>
      </c>
      <c r="B80" s="54" t="s">
        <v>547</v>
      </c>
      <c r="C80" s="54" t="s">
        <v>548</v>
      </c>
      <c r="D80" s="54" t="s">
        <v>536</v>
      </c>
      <c r="E80" s="54" t="s">
        <v>549</v>
      </c>
    </row>
    <row r="81" spans="1:5" ht="10.5" customHeight="1" x14ac:dyDescent="0.3">
      <c r="A81" s="48">
        <f t="shared" si="1"/>
        <v>80</v>
      </c>
      <c r="B81" s="54" t="s">
        <v>550</v>
      </c>
      <c r="C81" s="54" t="s">
        <v>551</v>
      </c>
      <c r="D81" s="54" t="s">
        <v>537</v>
      </c>
      <c r="E81" s="54" t="s">
        <v>552</v>
      </c>
    </row>
    <row r="82" spans="1:5" ht="10.5" customHeight="1" x14ac:dyDescent="0.3">
      <c r="A82" s="48">
        <f t="shared" si="1"/>
        <v>81</v>
      </c>
      <c r="B82" s="54" t="s">
        <v>430</v>
      </c>
      <c r="C82" s="54" t="s">
        <v>431</v>
      </c>
      <c r="D82" s="54" t="s">
        <v>437</v>
      </c>
      <c r="E82" s="54" t="s">
        <v>436</v>
      </c>
    </row>
    <row r="83" spans="1:5" ht="10.5" customHeight="1" x14ac:dyDescent="0.3">
      <c r="A83" s="48">
        <f t="shared" si="1"/>
        <v>82</v>
      </c>
      <c r="B83" s="54" t="s">
        <v>438</v>
      </c>
      <c r="C83" s="54" t="s">
        <v>439</v>
      </c>
      <c r="D83" s="54" t="s">
        <v>440</v>
      </c>
      <c r="E83" s="54" t="s">
        <v>441</v>
      </c>
    </row>
    <row r="84" spans="1:5" ht="10.5" customHeight="1" x14ac:dyDescent="0.3">
      <c r="A84" s="48">
        <f t="shared" si="1"/>
        <v>83</v>
      </c>
      <c r="B84" s="54" t="s">
        <v>559</v>
      </c>
      <c r="C84" s="54" t="s">
        <v>560</v>
      </c>
      <c r="D84" s="57" t="s">
        <v>561</v>
      </c>
      <c r="E84" s="57" t="s">
        <v>562</v>
      </c>
    </row>
    <row r="85" spans="1:5" ht="10.5" customHeight="1" x14ac:dyDescent="0.3">
      <c r="A85" s="48">
        <f t="shared" si="1"/>
        <v>84</v>
      </c>
      <c r="B85" s="54" t="s">
        <v>563</v>
      </c>
      <c r="C85" s="54" t="s">
        <v>564</v>
      </c>
      <c r="D85" s="57" t="s">
        <v>565</v>
      </c>
      <c r="E85" s="57" t="s">
        <v>566</v>
      </c>
    </row>
    <row r="86" spans="1:5" ht="10.5" customHeight="1" x14ac:dyDescent="0.3">
      <c r="A86" s="48">
        <f t="shared" si="1"/>
        <v>85</v>
      </c>
      <c r="B86" s="54" t="s">
        <v>567</v>
      </c>
      <c r="C86" s="54" t="s">
        <v>568</v>
      </c>
      <c r="D86" s="57" t="s">
        <v>569</v>
      </c>
      <c r="E86" s="57" t="s">
        <v>570</v>
      </c>
    </row>
    <row r="87" spans="1:5" ht="10.5" customHeight="1" x14ac:dyDescent="0.3">
      <c r="A87" s="48">
        <f t="shared" si="1"/>
        <v>86</v>
      </c>
      <c r="B87" s="54" t="s">
        <v>571</v>
      </c>
      <c r="C87" s="54" t="s">
        <v>572</v>
      </c>
      <c r="D87" s="57" t="s">
        <v>573</v>
      </c>
      <c r="E87" s="57" t="s">
        <v>574</v>
      </c>
    </row>
    <row r="88" spans="1:5" ht="10.5" customHeight="1" x14ac:dyDescent="0.3">
      <c r="A88" s="48">
        <f t="shared" si="1"/>
        <v>87</v>
      </c>
      <c r="B88" s="54" t="s">
        <v>655</v>
      </c>
      <c r="C88" s="54" t="s">
        <v>663</v>
      </c>
      <c r="D88" s="54" t="s">
        <v>575</v>
      </c>
      <c r="E88" s="54" t="s">
        <v>576</v>
      </c>
    </row>
    <row r="89" spans="1:5" ht="10.5" customHeight="1" x14ac:dyDescent="0.3">
      <c r="A89" s="48">
        <f t="shared" si="1"/>
        <v>88</v>
      </c>
      <c r="B89" s="54" t="s">
        <v>656</v>
      </c>
      <c r="C89" s="54" t="s">
        <v>664</v>
      </c>
      <c r="D89" s="54" t="s">
        <v>577</v>
      </c>
      <c r="E89" s="54" t="s">
        <v>578</v>
      </c>
    </row>
    <row r="90" spans="1:5" ht="10.5" customHeight="1" x14ac:dyDescent="0.3">
      <c r="A90" s="48">
        <f t="shared" si="1"/>
        <v>89</v>
      </c>
      <c r="B90" s="54" t="s">
        <v>657</v>
      </c>
      <c r="C90" s="54" t="s">
        <v>665</v>
      </c>
      <c r="D90" s="54" t="s">
        <v>579</v>
      </c>
      <c r="E90" s="54" t="s">
        <v>580</v>
      </c>
    </row>
    <row r="91" spans="1:5" ht="10.5" customHeight="1" x14ac:dyDescent="0.3">
      <c r="A91" s="48">
        <f t="shared" si="1"/>
        <v>90</v>
      </c>
      <c r="B91" s="54" t="s">
        <v>658</v>
      </c>
      <c r="C91" s="54" t="s">
        <v>666</v>
      </c>
      <c r="D91" s="54" t="s">
        <v>581</v>
      </c>
      <c r="E91" s="54" t="s">
        <v>582</v>
      </c>
    </row>
    <row r="92" spans="1:5" ht="10.5" customHeight="1" x14ac:dyDescent="0.3">
      <c r="A92" s="48">
        <f t="shared" si="1"/>
        <v>91</v>
      </c>
      <c r="B92" s="54" t="s">
        <v>659</v>
      </c>
      <c r="C92" s="54" t="s">
        <v>667</v>
      </c>
      <c r="D92" s="54" t="s">
        <v>583</v>
      </c>
      <c r="E92" s="54" t="s">
        <v>584</v>
      </c>
    </row>
    <row r="93" spans="1:5" ht="10.5" customHeight="1" x14ac:dyDescent="0.3">
      <c r="A93" s="48">
        <f t="shared" si="1"/>
        <v>92</v>
      </c>
      <c r="B93" s="54" t="s">
        <v>660</v>
      </c>
      <c r="C93" s="54" t="s">
        <v>668</v>
      </c>
      <c r="D93" s="54" t="s">
        <v>585</v>
      </c>
      <c r="E93" s="54" t="s">
        <v>586</v>
      </c>
    </row>
    <row r="94" spans="1:5" ht="10.5" customHeight="1" x14ac:dyDescent="0.3">
      <c r="A94" s="48">
        <f t="shared" si="1"/>
        <v>93</v>
      </c>
      <c r="B94" s="54" t="s">
        <v>661</v>
      </c>
      <c r="C94" s="54" t="s">
        <v>669</v>
      </c>
      <c r="D94" s="54" t="s">
        <v>587</v>
      </c>
      <c r="E94" s="54" t="s">
        <v>588</v>
      </c>
    </row>
    <row r="95" spans="1:5" ht="10.5" customHeight="1" x14ac:dyDescent="0.3">
      <c r="A95" s="48">
        <f t="shared" si="1"/>
        <v>94</v>
      </c>
      <c r="B95" s="54" t="s">
        <v>662</v>
      </c>
      <c r="C95" s="54" t="s">
        <v>670</v>
      </c>
      <c r="D95" s="54" t="s">
        <v>589</v>
      </c>
      <c r="E95" s="54" t="s">
        <v>590</v>
      </c>
    </row>
    <row r="96" spans="1:5" ht="10.5" customHeight="1" x14ac:dyDescent="0.3">
      <c r="A96" s="48">
        <f t="shared" si="1"/>
        <v>95</v>
      </c>
      <c r="B96" s="54" t="s">
        <v>475</v>
      </c>
      <c r="C96" s="54" t="s">
        <v>469</v>
      </c>
      <c r="D96" s="54" t="s">
        <v>481</v>
      </c>
      <c r="E96" s="54" t="s">
        <v>492</v>
      </c>
    </row>
    <row r="97" spans="1:5" ht="10.5" customHeight="1" x14ac:dyDescent="0.3">
      <c r="A97" s="48">
        <f t="shared" si="1"/>
        <v>96</v>
      </c>
      <c r="B97" s="54" t="s">
        <v>476</v>
      </c>
      <c r="C97" s="54" t="s">
        <v>470</v>
      </c>
      <c r="D97" s="54" t="s">
        <v>482</v>
      </c>
      <c r="E97" s="54" t="s">
        <v>490</v>
      </c>
    </row>
    <row r="98" spans="1:5" ht="10.5" customHeight="1" x14ac:dyDescent="0.3">
      <c r="A98" s="48">
        <f t="shared" si="1"/>
        <v>97</v>
      </c>
      <c r="B98" s="54" t="s">
        <v>477</v>
      </c>
      <c r="C98" s="54" t="s">
        <v>471</v>
      </c>
      <c r="D98" s="54" t="s">
        <v>483</v>
      </c>
      <c r="E98" s="54" t="s">
        <v>487</v>
      </c>
    </row>
    <row r="99" spans="1:5" ht="10.5" customHeight="1" x14ac:dyDescent="0.3">
      <c r="A99" s="48">
        <f t="shared" si="1"/>
        <v>98</v>
      </c>
      <c r="B99" s="54" t="s">
        <v>478</v>
      </c>
      <c r="C99" s="54" t="s">
        <v>472</v>
      </c>
      <c r="D99" s="54" t="s">
        <v>484</v>
      </c>
      <c r="E99" s="54" t="s">
        <v>488</v>
      </c>
    </row>
    <row r="100" spans="1:5" ht="10.5" customHeight="1" x14ac:dyDescent="0.3">
      <c r="A100" s="48">
        <f t="shared" si="1"/>
        <v>99</v>
      </c>
      <c r="B100" s="54" t="s">
        <v>479</v>
      </c>
      <c r="C100" s="54" t="s">
        <v>473</v>
      </c>
      <c r="D100" s="54" t="s">
        <v>485</v>
      </c>
      <c r="E100" s="54" t="s">
        <v>489</v>
      </c>
    </row>
    <row r="101" spans="1:5" ht="10.5" customHeight="1" x14ac:dyDescent="0.3">
      <c r="A101" s="48">
        <f t="shared" si="1"/>
        <v>100</v>
      </c>
      <c r="B101" s="54" t="s">
        <v>480</v>
      </c>
      <c r="C101" s="54" t="s">
        <v>474</v>
      </c>
      <c r="D101" s="54" t="s">
        <v>486</v>
      </c>
      <c r="E101" s="54" t="s">
        <v>491</v>
      </c>
    </row>
    <row r="102" spans="1:5" ht="10.5" customHeight="1" x14ac:dyDescent="0.3">
      <c r="A102" s="48">
        <f t="shared" si="1"/>
        <v>101</v>
      </c>
      <c r="B102" s="54" t="s">
        <v>619</v>
      </c>
      <c r="C102" s="54" t="s">
        <v>624</v>
      </c>
      <c r="D102" s="54" t="s">
        <v>629</v>
      </c>
      <c r="E102" s="54" t="s">
        <v>630</v>
      </c>
    </row>
    <row r="103" spans="1:5" ht="10.5" customHeight="1" x14ac:dyDescent="0.3">
      <c r="A103" s="48">
        <f t="shared" si="1"/>
        <v>102</v>
      </c>
      <c r="B103" s="54" t="s">
        <v>620</v>
      </c>
      <c r="C103" s="54" t="s">
        <v>625</v>
      </c>
      <c r="D103" s="54" t="s">
        <v>631</v>
      </c>
      <c r="E103" s="54" t="s">
        <v>632</v>
      </c>
    </row>
    <row r="104" spans="1:5" ht="10.5" customHeight="1" x14ac:dyDescent="0.3">
      <c r="A104" s="48">
        <f t="shared" si="1"/>
        <v>103</v>
      </c>
      <c r="B104" s="54" t="s">
        <v>621</v>
      </c>
      <c r="C104" s="54" t="s">
        <v>626</v>
      </c>
      <c r="D104" s="54" t="s">
        <v>633</v>
      </c>
      <c r="E104" s="54" t="s">
        <v>634</v>
      </c>
    </row>
    <row r="105" spans="1:5" ht="10.5" customHeight="1" x14ac:dyDescent="0.3">
      <c r="A105" s="48">
        <f t="shared" si="1"/>
        <v>104</v>
      </c>
      <c r="B105" s="54" t="s">
        <v>622</v>
      </c>
      <c r="C105" s="54" t="s">
        <v>627</v>
      </c>
      <c r="D105" s="54" t="s">
        <v>635</v>
      </c>
      <c r="E105" s="54" t="s">
        <v>636</v>
      </c>
    </row>
    <row r="106" spans="1:5" ht="10.5" customHeight="1" x14ac:dyDescent="0.3">
      <c r="A106" s="48">
        <f t="shared" si="1"/>
        <v>105</v>
      </c>
      <c r="B106" s="54" t="s">
        <v>623</v>
      </c>
      <c r="C106" s="54" t="s">
        <v>628</v>
      </c>
      <c r="D106" s="54" t="s">
        <v>637</v>
      </c>
      <c r="E106" s="54" t="s">
        <v>638</v>
      </c>
    </row>
    <row r="107" spans="1:5" ht="10.5" customHeight="1" x14ac:dyDescent="0.3">
      <c r="A107" s="48">
        <f t="shared" si="1"/>
        <v>106</v>
      </c>
      <c r="B107" s="54" t="s">
        <v>764</v>
      </c>
      <c r="C107" s="54" t="s">
        <v>767</v>
      </c>
      <c r="D107" s="54" t="s">
        <v>770</v>
      </c>
      <c r="E107" s="54" t="s">
        <v>775</v>
      </c>
    </row>
    <row r="108" spans="1:5" ht="10.5" customHeight="1" x14ac:dyDescent="0.3">
      <c r="A108" s="48">
        <f t="shared" si="1"/>
        <v>107</v>
      </c>
      <c r="B108" s="54" t="s">
        <v>765</v>
      </c>
      <c r="C108" s="54" t="s">
        <v>768</v>
      </c>
      <c r="D108" s="54" t="s">
        <v>771</v>
      </c>
      <c r="E108" s="54" t="s">
        <v>773</v>
      </c>
    </row>
    <row r="109" spans="1:5" ht="10.5" customHeight="1" x14ac:dyDescent="0.3">
      <c r="A109" s="48">
        <f t="shared" si="1"/>
        <v>108</v>
      </c>
      <c r="B109" s="54" t="s">
        <v>766</v>
      </c>
      <c r="C109" s="54" t="s">
        <v>769</v>
      </c>
      <c r="D109" s="54" t="s">
        <v>772</v>
      </c>
      <c r="E109" s="54" t="s">
        <v>774</v>
      </c>
    </row>
    <row r="110" spans="1:5" ht="10.5" customHeight="1" x14ac:dyDescent="0.3">
      <c r="A110" s="48">
        <f t="shared" si="1"/>
        <v>109</v>
      </c>
      <c r="B110" s="54" t="s">
        <v>30</v>
      </c>
      <c r="C110" s="54" t="s">
        <v>119</v>
      </c>
      <c r="D110" s="54" t="s">
        <v>63</v>
      </c>
      <c r="E110" s="54" t="s">
        <v>155</v>
      </c>
    </row>
    <row r="111" spans="1:5" ht="10.5" customHeight="1" x14ac:dyDescent="0.3">
      <c r="A111" s="48">
        <f t="shared" si="1"/>
        <v>110</v>
      </c>
      <c r="B111" s="54" t="s">
        <v>31</v>
      </c>
      <c r="C111" s="54" t="s">
        <v>120</v>
      </c>
      <c r="D111" s="54" t="s">
        <v>64</v>
      </c>
      <c r="E111" s="54" t="s">
        <v>156</v>
      </c>
    </row>
    <row r="112" spans="1:5" ht="10.5" customHeight="1" x14ac:dyDescent="0.3">
      <c r="A112" s="48">
        <f t="shared" si="1"/>
        <v>111</v>
      </c>
      <c r="B112" s="54" t="s">
        <v>32</v>
      </c>
      <c r="C112" s="54" t="s">
        <v>121</v>
      </c>
      <c r="D112" s="54" t="s">
        <v>65</v>
      </c>
      <c r="E112" s="54" t="s">
        <v>157</v>
      </c>
    </row>
    <row r="113" spans="1:5" ht="10.5" customHeight="1" x14ac:dyDescent="0.3">
      <c r="A113" s="48">
        <f t="shared" si="1"/>
        <v>112</v>
      </c>
      <c r="B113" s="54" t="s">
        <v>33</v>
      </c>
      <c r="C113" s="54" t="s">
        <v>122</v>
      </c>
      <c r="D113" s="54" t="s">
        <v>66</v>
      </c>
      <c r="E113" s="54" t="s">
        <v>158</v>
      </c>
    </row>
    <row r="114" spans="1:5" ht="10.5" customHeight="1" x14ac:dyDescent="0.3">
      <c r="A114" s="48">
        <f t="shared" si="1"/>
        <v>113</v>
      </c>
      <c r="B114" s="54" t="s">
        <v>34</v>
      </c>
      <c r="C114" s="54" t="s">
        <v>123</v>
      </c>
      <c r="D114" s="54" t="s">
        <v>67</v>
      </c>
      <c r="E114" s="54" t="s">
        <v>159</v>
      </c>
    </row>
    <row r="115" spans="1:5" ht="10.5" customHeight="1" x14ac:dyDescent="0.3">
      <c r="A115" s="48">
        <f t="shared" si="1"/>
        <v>114</v>
      </c>
      <c r="B115" s="54" t="s">
        <v>35</v>
      </c>
      <c r="C115" s="54" t="s">
        <v>124</v>
      </c>
      <c r="D115" s="54" t="s">
        <v>68</v>
      </c>
      <c r="E115" s="54" t="s">
        <v>160</v>
      </c>
    </row>
    <row r="116" spans="1:5" ht="10.5" customHeight="1" x14ac:dyDescent="0.3">
      <c r="A116" s="48">
        <f t="shared" si="1"/>
        <v>115</v>
      </c>
      <c r="B116" s="54" t="s">
        <v>432</v>
      </c>
      <c r="C116" s="54" t="s">
        <v>433</v>
      </c>
      <c r="D116" s="54" t="s">
        <v>434</v>
      </c>
      <c r="E116" s="54" t="s">
        <v>435</v>
      </c>
    </row>
    <row r="117" spans="1:5" ht="10.5" customHeight="1" x14ac:dyDescent="0.3">
      <c r="A117" s="48">
        <f t="shared" si="1"/>
        <v>116</v>
      </c>
      <c r="B117" s="54" t="s">
        <v>727</v>
      </c>
      <c r="C117" s="54" t="s">
        <v>731</v>
      </c>
      <c r="D117" s="54" t="s">
        <v>735</v>
      </c>
      <c r="E117" s="54" t="s">
        <v>739</v>
      </c>
    </row>
    <row r="118" spans="1:5" ht="10.5" customHeight="1" x14ac:dyDescent="0.3">
      <c r="A118" s="48">
        <f t="shared" si="1"/>
        <v>117</v>
      </c>
      <c r="B118" s="54" t="s">
        <v>728</v>
      </c>
      <c r="C118" s="54" t="s">
        <v>732</v>
      </c>
      <c r="D118" s="54" t="s">
        <v>736</v>
      </c>
      <c r="E118" s="54" t="s">
        <v>740</v>
      </c>
    </row>
    <row r="119" spans="1:5" ht="10.5" customHeight="1" x14ac:dyDescent="0.3">
      <c r="A119" s="48">
        <f t="shared" si="1"/>
        <v>118</v>
      </c>
      <c r="B119" s="54" t="s">
        <v>729</v>
      </c>
      <c r="C119" s="54" t="s">
        <v>733</v>
      </c>
      <c r="D119" s="54" t="s">
        <v>737</v>
      </c>
      <c r="E119" s="54" t="s">
        <v>741</v>
      </c>
    </row>
    <row r="120" spans="1:5" ht="10.5" customHeight="1" x14ac:dyDescent="0.3">
      <c r="A120" s="48">
        <f t="shared" si="1"/>
        <v>119</v>
      </c>
      <c r="B120" s="54" t="s">
        <v>730</v>
      </c>
      <c r="C120" s="54" t="s">
        <v>734</v>
      </c>
      <c r="D120" s="54" t="s">
        <v>738</v>
      </c>
      <c r="E120" s="54" t="s">
        <v>742</v>
      </c>
    </row>
    <row r="121" spans="1:5" ht="10.5" customHeight="1" x14ac:dyDescent="0.3">
      <c r="A121" s="48">
        <f t="shared" si="1"/>
        <v>120</v>
      </c>
      <c r="B121" s="54" t="s">
        <v>27</v>
      </c>
      <c r="C121" s="54" t="s">
        <v>125</v>
      </c>
      <c r="D121" s="54" t="s">
        <v>69</v>
      </c>
      <c r="E121" s="54" t="s">
        <v>161</v>
      </c>
    </row>
    <row r="122" spans="1:5" ht="10.5" customHeight="1" x14ac:dyDescent="0.3">
      <c r="A122" s="48">
        <f t="shared" si="1"/>
        <v>121</v>
      </c>
      <c r="B122" s="54" t="s">
        <v>28</v>
      </c>
      <c r="C122" s="54" t="s">
        <v>126</v>
      </c>
      <c r="D122" s="54" t="s">
        <v>70</v>
      </c>
      <c r="E122" s="54" t="s">
        <v>162</v>
      </c>
    </row>
    <row r="123" spans="1:5" ht="10.5" customHeight="1" x14ac:dyDescent="0.3">
      <c r="A123" s="48">
        <f t="shared" si="1"/>
        <v>122</v>
      </c>
      <c r="B123" s="54" t="s">
        <v>22</v>
      </c>
      <c r="C123" s="54" t="s">
        <v>127</v>
      </c>
      <c r="D123" s="54" t="s">
        <v>71</v>
      </c>
      <c r="E123" s="54" t="s">
        <v>163</v>
      </c>
    </row>
    <row r="124" spans="1:5" ht="10.5" customHeight="1" x14ac:dyDescent="0.3">
      <c r="A124" s="48">
        <f t="shared" si="1"/>
        <v>123</v>
      </c>
      <c r="B124" s="54" t="s">
        <v>49</v>
      </c>
      <c r="C124" s="54" t="s">
        <v>128</v>
      </c>
      <c r="D124" s="54" t="s">
        <v>386</v>
      </c>
      <c r="E124" s="54" t="s">
        <v>388</v>
      </c>
    </row>
    <row r="125" spans="1:5" ht="10.5" customHeight="1" x14ac:dyDescent="0.3">
      <c r="A125" s="48">
        <f t="shared" si="1"/>
        <v>124</v>
      </c>
      <c r="B125" s="54" t="s">
        <v>37</v>
      </c>
      <c r="C125" s="54" t="s">
        <v>129</v>
      </c>
      <c r="D125" s="54" t="s">
        <v>72</v>
      </c>
      <c r="E125" s="54" t="s">
        <v>164</v>
      </c>
    </row>
    <row r="126" spans="1:5" ht="10.5" customHeight="1" x14ac:dyDescent="0.3">
      <c r="A126" s="48">
        <f t="shared" si="1"/>
        <v>125</v>
      </c>
      <c r="B126" s="54" t="s">
        <v>39</v>
      </c>
      <c r="C126" s="54" t="s">
        <v>130</v>
      </c>
      <c r="D126" s="54" t="s">
        <v>73</v>
      </c>
      <c r="E126" s="54" t="s">
        <v>414</v>
      </c>
    </row>
    <row r="127" spans="1:5" ht="10.5" customHeight="1" x14ac:dyDescent="0.3">
      <c r="A127" s="48">
        <f t="shared" si="1"/>
        <v>126</v>
      </c>
      <c r="B127" s="54" t="s">
        <v>21</v>
      </c>
      <c r="C127" s="54" t="s">
        <v>131</v>
      </c>
      <c r="D127" s="54" t="s">
        <v>74</v>
      </c>
      <c r="E127" s="54" t="s">
        <v>165</v>
      </c>
    </row>
    <row r="128" spans="1:5" ht="10.5" customHeight="1" x14ac:dyDescent="0.3">
      <c r="A128" s="48">
        <f t="shared" si="1"/>
        <v>127</v>
      </c>
      <c r="B128" s="54" t="s">
        <v>23</v>
      </c>
      <c r="C128" s="54" t="s">
        <v>132</v>
      </c>
      <c r="D128" s="54" t="s">
        <v>75</v>
      </c>
      <c r="E128" s="54" t="s">
        <v>166</v>
      </c>
    </row>
    <row r="129" spans="1:5" ht="10.5" customHeight="1" x14ac:dyDescent="0.3">
      <c r="A129" s="48">
        <f t="shared" si="1"/>
        <v>128</v>
      </c>
      <c r="B129" s="54" t="s">
        <v>29</v>
      </c>
      <c r="C129" s="54" t="s">
        <v>133</v>
      </c>
      <c r="D129" s="54" t="s">
        <v>76</v>
      </c>
      <c r="E129" s="54" t="s">
        <v>167</v>
      </c>
    </row>
    <row r="130" spans="1:5" ht="10.5" customHeight="1" x14ac:dyDescent="0.3">
      <c r="A130" s="48">
        <f t="shared" si="1"/>
        <v>129</v>
      </c>
      <c r="B130" s="54" t="s">
        <v>694</v>
      </c>
      <c r="C130" s="54" t="s">
        <v>695</v>
      </c>
      <c r="D130" s="54" t="s">
        <v>697</v>
      </c>
      <c r="E130" s="54" t="s">
        <v>696</v>
      </c>
    </row>
    <row r="131" spans="1:5" ht="10.5" customHeight="1" x14ac:dyDescent="0.3">
      <c r="A131" s="48">
        <f t="shared" ref="A131:A194" si="2">A130+1</f>
        <v>130</v>
      </c>
      <c r="B131" s="49" t="s">
        <v>38</v>
      </c>
      <c r="C131" s="49" t="s">
        <v>134</v>
      </c>
      <c r="D131" s="49" t="s">
        <v>77</v>
      </c>
      <c r="E131" s="49" t="s">
        <v>168</v>
      </c>
    </row>
    <row r="132" spans="1:5" ht="10.5" customHeight="1" x14ac:dyDescent="0.3">
      <c r="A132" s="48">
        <f t="shared" si="2"/>
        <v>131</v>
      </c>
      <c r="B132" s="49" t="s">
        <v>889</v>
      </c>
      <c r="C132" s="49" t="s">
        <v>890</v>
      </c>
      <c r="D132" s="49" t="s">
        <v>891</v>
      </c>
      <c r="E132" s="49" t="s">
        <v>892</v>
      </c>
    </row>
    <row r="133" spans="1:5" ht="10.5" customHeight="1" x14ac:dyDescent="0.3">
      <c r="A133" s="48">
        <f t="shared" si="2"/>
        <v>132</v>
      </c>
      <c r="B133" s="49" t="s">
        <v>20</v>
      </c>
      <c r="C133" s="49" t="s">
        <v>135</v>
      </c>
      <c r="D133" s="49" t="s">
        <v>78</v>
      </c>
      <c r="E133" s="49" t="s">
        <v>169</v>
      </c>
    </row>
    <row r="134" spans="1:5" ht="10.5" customHeight="1" x14ac:dyDescent="0.3">
      <c r="A134" s="48">
        <f t="shared" si="2"/>
        <v>133</v>
      </c>
      <c r="B134" s="49" t="s">
        <v>52</v>
      </c>
      <c r="C134" s="49" t="s">
        <v>136</v>
      </c>
      <c r="D134" s="49" t="s">
        <v>310</v>
      </c>
      <c r="E134" s="49" t="s">
        <v>170</v>
      </c>
    </row>
    <row r="135" spans="1:5" ht="10.5" customHeight="1" x14ac:dyDescent="0.3">
      <c r="A135" s="48">
        <f t="shared" si="2"/>
        <v>134</v>
      </c>
      <c r="B135" s="56" t="s">
        <v>837</v>
      </c>
      <c r="C135" s="56" t="s">
        <v>838</v>
      </c>
      <c r="D135" s="54" t="s">
        <v>79</v>
      </c>
      <c r="E135" s="54" t="s">
        <v>171</v>
      </c>
    </row>
    <row r="136" spans="1:5" ht="10.5" customHeight="1" x14ac:dyDescent="0.3">
      <c r="A136" s="48">
        <f t="shared" si="2"/>
        <v>135</v>
      </c>
      <c r="B136" s="56" t="s">
        <v>7</v>
      </c>
      <c r="C136" s="56" t="s">
        <v>137</v>
      </c>
      <c r="D136" s="54" t="s">
        <v>387</v>
      </c>
      <c r="E136" s="54" t="s">
        <v>172</v>
      </c>
    </row>
    <row r="137" spans="1:5" ht="10.5" customHeight="1" x14ac:dyDescent="0.3">
      <c r="A137" s="48">
        <f t="shared" si="2"/>
        <v>136</v>
      </c>
      <c r="B137" s="56" t="s">
        <v>8</v>
      </c>
      <c r="C137" s="56" t="s">
        <v>138</v>
      </c>
      <c r="D137" s="56" t="s">
        <v>80</v>
      </c>
      <c r="E137" s="56" t="s">
        <v>173</v>
      </c>
    </row>
    <row r="138" spans="1:5" ht="10.5" customHeight="1" x14ac:dyDescent="0.3">
      <c r="A138" s="48">
        <f t="shared" si="2"/>
        <v>137</v>
      </c>
      <c r="B138" s="56" t="s">
        <v>188</v>
      </c>
      <c r="C138" s="56" t="s">
        <v>187</v>
      </c>
      <c r="D138" s="56" t="s">
        <v>189</v>
      </c>
      <c r="E138" s="56" t="s">
        <v>190</v>
      </c>
    </row>
    <row r="139" spans="1:5" ht="10.5" customHeight="1" x14ac:dyDescent="0.3">
      <c r="A139" s="48">
        <f t="shared" si="2"/>
        <v>138</v>
      </c>
      <c r="B139" s="56" t="s">
        <v>893</v>
      </c>
      <c r="C139" s="54" t="s">
        <v>894</v>
      </c>
      <c r="D139" s="54" t="s">
        <v>895</v>
      </c>
      <c r="E139" s="54" t="s">
        <v>896</v>
      </c>
    </row>
    <row r="140" spans="1:5" ht="10.5" customHeight="1" x14ac:dyDescent="0.3">
      <c r="A140" s="48">
        <f t="shared" si="2"/>
        <v>139</v>
      </c>
      <c r="B140" s="58" t="s">
        <v>897</v>
      </c>
      <c r="C140" s="54" t="s">
        <v>898</v>
      </c>
      <c r="D140" s="54" t="s">
        <v>899</v>
      </c>
      <c r="E140" s="54" t="s">
        <v>900</v>
      </c>
    </row>
    <row r="141" spans="1:5" ht="10.5" customHeight="1" x14ac:dyDescent="0.3">
      <c r="A141" s="48">
        <f t="shared" si="2"/>
        <v>140</v>
      </c>
      <c r="B141" s="53" t="s">
        <v>702</v>
      </c>
      <c r="C141" s="54" t="s">
        <v>703</v>
      </c>
      <c r="D141" s="54" t="s">
        <v>704</v>
      </c>
      <c r="E141" s="54" t="s">
        <v>705</v>
      </c>
    </row>
    <row r="142" spans="1:5" ht="10.5" customHeight="1" x14ac:dyDescent="0.3">
      <c r="A142" s="48">
        <f t="shared" si="2"/>
        <v>141</v>
      </c>
      <c r="B142" s="58" t="s">
        <v>901</v>
      </c>
      <c r="C142" s="53" t="s">
        <v>902</v>
      </c>
      <c r="D142" s="54" t="s">
        <v>887</v>
      </c>
      <c r="E142" s="54" t="s">
        <v>903</v>
      </c>
    </row>
    <row r="143" spans="1:5" ht="10.5" customHeight="1" x14ac:dyDescent="0.3">
      <c r="A143" s="48">
        <f t="shared" si="2"/>
        <v>142</v>
      </c>
      <c r="B143" s="58" t="s">
        <v>904</v>
      </c>
      <c r="C143" s="55" t="s">
        <v>906</v>
      </c>
      <c r="D143" s="54" t="s">
        <v>908</v>
      </c>
      <c r="E143" s="54" t="s">
        <v>910</v>
      </c>
    </row>
    <row r="144" spans="1:5" ht="10.5" customHeight="1" x14ac:dyDescent="0.3">
      <c r="A144" s="48">
        <f t="shared" si="2"/>
        <v>143</v>
      </c>
      <c r="B144" s="59" t="s">
        <v>905</v>
      </c>
      <c r="C144" s="60" t="s">
        <v>907</v>
      </c>
      <c r="D144" s="54" t="s">
        <v>909</v>
      </c>
      <c r="E144" s="54" t="s">
        <v>911</v>
      </c>
    </row>
    <row r="145" spans="1:5" ht="10.5" customHeight="1" x14ac:dyDescent="0.3">
      <c r="A145" s="48">
        <f t="shared" si="2"/>
        <v>144</v>
      </c>
      <c r="B145" s="61" t="s">
        <v>50</v>
      </c>
      <c r="C145" s="61" t="s">
        <v>139</v>
      </c>
      <c r="D145" s="61" t="s">
        <v>81</v>
      </c>
      <c r="E145" s="54" t="s">
        <v>174</v>
      </c>
    </row>
    <row r="146" spans="1:5" ht="10.5" customHeight="1" x14ac:dyDescent="0.3">
      <c r="A146" s="48">
        <f t="shared" si="2"/>
        <v>145</v>
      </c>
      <c r="B146" s="61" t="s">
        <v>9</v>
      </c>
      <c r="C146" s="61" t="s">
        <v>140</v>
      </c>
      <c r="D146" s="54" t="s">
        <v>82</v>
      </c>
      <c r="E146" s="54" t="s">
        <v>140</v>
      </c>
    </row>
    <row r="147" spans="1:5" ht="10.5" customHeight="1" x14ac:dyDescent="0.3">
      <c r="A147" s="48">
        <f t="shared" si="2"/>
        <v>146</v>
      </c>
      <c r="B147" s="61" t="s">
        <v>10</v>
      </c>
      <c r="C147" s="61" t="s">
        <v>141</v>
      </c>
      <c r="D147" s="54" t="s">
        <v>83</v>
      </c>
      <c r="E147" s="54" t="s">
        <v>175</v>
      </c>
    </row>
    <row r="148" spans="1:5" ht="10.5" customHeight="1" x14ac:dyDescent="0.3">
      <c r="A148" s="48">
        <f t="shared" si="2"/>
        <v>147</v>
      </c>
      <c r="B148" s="61" t="s">
        <v>11</v>
      </c>
      <c r="C148" s="61" t="s">
        <v>142</v>
      </c>
      <c r="D148" s="54" t="s">
        <v>84</v>
      </c>
      <c r="E148" s="54" t="s">
        <v>176</v>
      </c>
    </row>
    <row r="149" spans="1:5" ht="10.5" customHeight="1" x14ac:dyDescent="0.3">
      <c r="A149" s="48">
        <f t="shared" si="2"/>
        <v>148</v>
      </c>
      <c r="B149" s="61" t="s">
        <v>12</v>
      </c>
      <c r="C149" s="61" t="s">
        <v>143</v>
      </c>
      <c r="D149" s="54" t="s">
        <v>85</v>
      </c>
      <c r="E149" s="54" t="s">
        <v>177</v>
      </c>
    </row>
    <row r="150" spans="1:5" ht="10.5" customHeight="1" x14ac:dyDescent="0.3">
      <c r="A150" s="48">
        <f t="shared" si="2"/>
        <v>149</v>
      </c>
      <c r="B150" s="61" t="s">
        <v>13</v>
      </c>
      <c r="C150" s="61" t="s">
        <v>144</v>
      </c>
      <c r="D150" s="54" t="s">
        <v>86</v>
      </c>
      <c r="E150" s="54" t="s">
        <v>178</v>
      </c>
    </row>
    <row r="151" spans="1:5" ht="10.5" customHeight="1" x14ac:dyDescent="0.3">
      <c r="A151" s="48">
        <f t="shared" si="2"/>
        <v>150</v>
      </c>
      <c r="B151" s="61" t="s">
        <v>14</v>
      </c>
      <c r="C151" s="61" t="s">
        <v>145</v>
      </c>
      <c r="D151" s="54" t="s">
        <v>87</v>
      </c>
      <c r="E151" s="54" t="s">
        <v>179</v>
      </c>
    </row>
    <row r="152" spans="1:5" ht="10.5" customHeight="1" x14ac:dyDescent="0.3">
      <c r="A152" s="48">
        <f t="shared" si="2"/>
        <v>151</v>
      </c>
      <c r="B152" s="61" t="s">
        <v>15</v>
      </c>
      <c r="C152" s="61" t="s">
        <v>146</v>
      </c>
      <c r="D152" s="54" t="s">
        <v>88</v>
      </c>
      <c r="E152" s="54" t="s">
        <v>180</v>
      </c>
    </row>
    <row r="153" spans="1:5" ht="10.5" customHeight="1" x14ac:dyDescent="0.3">
      <c r="A153" s="48">
        <f t="shared" si="2"/>
        <v>152</v>
      </c>
      <c r="B153" s="61" t="s">
        <v>16</v>
      </c>
      <c r="C153" s="61" t="s">
        <v>89</v>
      </c>
      <c r="D153" s="54" t="s">
        <v>89</v>
      </c>
      <c r="E153" s="54" t="s">
        <v>89</v>
      </c>
    </row>
    <row r="154" spans="1:5" ht="10.5" customHeight="1" x14ac:dyDescent="0.3">
      <c r="A154" s="48">
        <f t="shared" si="2"/>
        <v>153</v>
      </c>
      <c r="B154" s="61" t="s">
        <v>2</v>
      </c>
      <c r="C154" s="61" t="s">
        <v>2</v>
      </c>
      <c r="D154" s="54" t="s">
        <v>2</v>
      </c>
      <c r="E154" s="54" t="s">
        <v>2</v>
      </c>
    </row>
    <row r="155" spans="1:5" ht="10.5" customHeight="1" x14ac:dyDescent="0.3">
      <c r="A155" s="48">
        <f t="shared" si="2"/>
        <v>154</v>
      </c>
      <c r="B155" s="61" t="s">
        <v>3</v>
      </c>
      <c r="C155" s="61" t="s">
        <v>3</v>
      </c>
      <c r="D155" s="54" t="s">
        <v>3</v>
      </c>
      <c r="E155" s="54" t="s">
        <v>181</v>
      </c>
    </row>
    <row r="156" spans="1:5" ht="10.5" customHeight="1" x14ac:dyDescent="0.3">
      <c r="A156" s="48">
        <f t="shared" si="2"/>
        <v>155</v>
      </c>
      <c r="B156" s="49" t="s">
        <v>853</v>
      </c>
      <c r="C156" s="49" t="s">
        <v>850</v>
      </c>
      <c r="D156" s="49" t="s">
        <v>851</v>
      </c>
      <c r="E156" s="49" t="s">
        <v>852</v>
      </c>
    </row>
    <row r="157" spans="1:5" ht="10.5" customHeight="1" x14ac:dyDescent="0.3">
      <c r="A157" s="48">
        <f t="shared" si="2"/>
        <v>156</v>
      </c>
      <c r="B157" s="54" t="s">
        <v>752</v>
      </c>
      <c r="C157" s="54" t="s">
        <v>755</v>
      </c>
      <c r="D157" s="54" t="s">
        <v>758</v>
      </c>
      <c r="E157" s="54" t="s">
        <v>763</v>
      </c>
    </row>
    <row r="158" spans="1:5" ht="10.5" customHeight="1" x14ac:dyDescent="0.3">
      <c r="A158" s="48">
        <f t="shared" si="2"/>
        <v>157</v>
      </c>
      <c r="B158" s="54" t="s">
        <v>753</v>
      </c>
      <c r="C158" s="54" t="s">
        <v>756</v>
      </c>
      <c r="D158" s="54" t="s">
        <v>759</v>
      </c>
      <c r="E158" s="54" t="s">
        <v>761</v>
      </c>
    </row>
    <row r="159" spans="1:5" ht="10.5" customHeight="1" x14ac:dyDescent="0.3">
      <c r="A159" s="48">
        <f t="shared" si="2"/>
        <v>158</v>
      </c>
      <c r="B159" s="54" t="s">
        <v>754</v>
      </c>
      <c r="C159" s="54" t="s">
        <v>757</v>
      </c>
      <c r="D159" s="54" t="s">
        <v>760</v>
      </c>
      <c r="E159" s="54" t="s">
        <v>762</v>
      </c>
    </row>
    <row r="160" spans="1:5" ht="10.5" customHeight="1" x14ac:dyDescent="0.3">
      <c r="A160" s="48">
        <f t="shared" si="2"/>
        <v>159</v>
      </c>
      <c r="B160" s="49" t="s">
        <v>1029</v>
      </c>
      <c r="C160" s="49" t="s">
        <v>1030</v>
      </c>
      <c r="D160" s="49" t="s">
        <v>1031</v>
      </c>
      <c r="E160" s="49" t="s">
        <v>1032</v>
      </c>
    </row>
    <row r="161" spans="1:5" ht="10.5" customHeight="1" x14ac:dyDescent="0.3">
      <c r="A161" s="48">
        <f t="shared" si="2"/>
        <v>160</v>
      </c>
      <c r="B161" s="49" t="s">
        <v>842</v>
      </c>
      <c r="C161" s="49" t="s">
        <v>839</v>
      </c>
      <c r="D161" s="49" t="s">
        <v>841</v>
      </c>
      <c r="E161" s="49" t="s">
        <v>840</v>
      </c>
    </row>
    <row r="162" spans="1:5" ht="10.5" customHeight="1" x14ac:dyDescent="0.3">
      <c r="A162" s="48">
        <f t="shared" si="2"/>
        <v>161</v>
      </c>
      <c r="B162" s="49" t="s">
        <v>719</v>
      </c>
      <c r="C162" s="49" t="s">
        <v>716</v>
      </c>
      <c r="D162" s="49" t="s">
        <v>720</v>
      </c>
      <c r="E162" s="49" t="s">
        <v>722</v>
      </c>
    </row>
    <row r="163" spans="1:5" ht="10.5" customHeight="1" x14ac:dyDescent="0.3">
      <c r="A163" s="48">
        <f t="shared" si="2"/>
        <v>162</v>
      </c>
      <c r="B163" s="49" t="s">
        <v>714</v>
      </c>
      <c r="C163" s="49" t="s">
        <v>717</v>
      </c>
      <c r="D163" s="49" t="s">
        <v>721</v>
      </c>
      <c r="E163" s="49" t="s">
        <v>723</v>
      </c>
    </row>
    <row r="164" spans="1:5" ht="10.5" customHeight="1" x14ac:dyDescent="0.3">
      <c r="A164" s="48">
        <f t="shared" si="2"/>
        <v>163</v>
      </c>
      <c r="B164" s="49" t="s">
        <v>715</v>
      </c>
      <c r="C164" s="49" t="s">
        <v>718</v>
      </c>
      <c r="D164" s="49" t="s">
        <v>725</v>
      </c>
      <c r="E164" s="49" t="s">
        <v>724</v>
      </c>
    </row>
    <row r="165" spans="1:5" ht="10.5" customHeight="1" x14ac:dyDescent="0.3">
      <c r="A165" s="48">
        <f t="shared" si="2"/>
        <v>164</v>
      </c>
      <c r="B165" s="49" t="s">
        <v>831</v>
      </c>
      <c r="C165" s="49" t="s">
        <v>832</v>
      </c>
      <c r="D165" s="49" t="s">
        <v>833</v>
      </c>
      <c r="E165" s="49" t="s">
        <v>834</v>
      </c>
    </row>
    <row r="166" spans="1:5" ht="10.5" customHeight="1" x14ac:dyDescent="0.3">
      <c r="A166" s="48">
        <f t="shared" si="2"/>
        <v>165</v>
      </c>
      <c r="B166" s="49" t="s">
        <v>284</v>
      </c>
      <c r="C166" s="49" t="s">
        <v>285</v>
      </c>
      <c r="D166" s="49" t="s">
        <v>287</v>
      </c>
      <c r="E166" s="49" t="s">
        <v>286</v>
      </c>
    </row>
    <row r="167" spans="1:5" ht="10.5" customHeight="1" x14ac:dyDescent="0.3">
      <c r="A167" s="48">
        <f t="shared" si="2"/>
        <v>166</v>
      </c>
      <c r="B167" s="49" t="s">
        <v>36</v>
      </c>
      <c r="C167" s="49" t="s">
        <v>288</v>
      </c>
      <c r="D167" s="49" t="s">
        <v>62</v>
      </c>
      <c r="E167" s="49" t="s">
        <v>154</v>
      </c>
    </row>
    <row r="168" spans="1:5" ht="10.5" customHeight="1" x14ac:dyDescent="0.3">
      <c r="A168" s="48">
        <f t="shared" si="2"/>
        <v>167</v>
      </c>
      <c r="B168" s="49" t="s">
        <v>185</v>
      </c>
      <c r="C168" s="49" t="s">
        <v>289</v>
      </c>
      <c r="D168" s="49" t="s">
        <v>186</v>
      </c>
      <c r="E168" s="49" t="s">
        <v>290</v>
      </c>
    </row>
    <row r="169" spans="1:5" ht="10.5" customHeight="1" x14ac:dyDescent="0.3">
      <c r="A169" s="48">
        <f t="shared" si="2"/>
        <v>168</v>
      </c>
      <c r="B169" s="49" t="s">
        <v>1022</v>
      </c>
      <c r="C169" s="49" t="s">
        <v>1023</v>
      </c>
      <c r="D169" s="49" t="s">
        <v>1024</v>
      </c>
      <c r="E169" s="49" t="s">
        <v>1025</v>
      </c>
    </row>
    <row r="170" spans="1:5" ht="10.5" customHeight="1" x14ac:dyDescent="0.3">
      <c r="A170" s="48">
        <f t="shared" si="2"/>
        <v>169</v>
      </c>
      <c r="B170" s="49" t="s">
        <v>291</v>
      </c>
      <c r="C170" s="49" t="s">
        <v>292</v>
      </c>
      <c r="D170" s="49" t="s">
        <v>293</v>
      </c>
      <c r="E170" s="49" t="s">
        <v>294</v>
      </c>
    </row>
    <row r="171" spans="1:5" ht="10.5" customHeight="1" x14ac:dyDescent="0.3">
      <c r="A171" s="48">
        <f t="shared" si="2"/>
        <v>170</v>
      </c>
      <c r="B171" s="55" t="s">
        <v>358</v>
      </c>
      <c r="C171" s="55" t="s">
        <v>355</v>
      </c>
      <c r="D171" s="49" t="s">
        <v>357</v>
      </c>
      <c r="E171" s="49" t="s">
        <v>356</v>
      </c>
    </row>
    <row r="172" spans="1:5" ht="10.5" customHeight="1" x14ac:dyDescent="0.3">
      <c r="A172" s="48">
        <f t="shared" si="2"/>
        <v>171</v>
      </c>
      <c r="B172" s="49" t="s">
        <v>1019</v>
      </c>
      <c r="C172" s="49" t="s">
        <v>1020</v>
      </c>
      <c r="D172" s="49" t="s">
        <v>1021</v>
      </c>
      <c r="E172" s="49" t="s">
        <v>1020</v>
      </c>
    </row>
    <row r="173" spans="1:5" ht="10.5" customHeight="1" x14ac:dyDescent="0.3">
      <c r="A173" s="48">
        <f t="shared" si="2"/>
        <v>172</v>
      </c>
      <c r="B173" s="54" t="s">
        <v>300</v>
      </c>
      <c r="C173" s="54" t="s">
        <v>301</v>
      </c>
      <c r="D173" s="54" t="s">
        <v>302</v>
      </c>
      <c r="E173" s="54" t="s">
        <v>301</v>
      </c>
    </row>
    <row r="174" spans="1:5" ht="10.5" customHeight="1" x14ac:dyDescent="0.3">
      <c r="A174" s="48">
        <f t="shared" si="2"/>
        <v>173</v>
      </c>
      <c r="B174" s="54" t="s">
        <v>1036</v>
      </c>
      <c r="C174" s="54" t="s">
        <v>1037</v>
      </c>
      <c r="D174" s="54" t="s">
        <v>1038</v>
      </c>
      <c r="E174" s="54" t="s">
        <v>1039</v>
      </c>
    </row>
    <row r="175" spans="1:5" ht="10.5" customHeight="1" x14ac:dyDescent="0.3">
      <c r="A175" s="48">
        <f t="shared" si="2"/>
        <v>174</v>
      </c>
      <c r="B175" s="54" t="s">
        <v>860</v>
      </c>
      <c r="C175" s="54" t="s">
        <v>861</v>
      </c>
      <c r="D175" s="54" t="s">
        <v>862</v>
      </c>
      <c r="E175" s="54" t="s">
        <v>863</v>
      </c>
    </row>
    <row r="176" spans="1:5" ht="10.5" customHeight="1" x14ac:dyDescent="0.3">
      <c r="A176" s="48">
        <f t="shared" si="2"/>
        <v>175</v>
      </c>
      <c r="B176" s="54" t="s">
        <v>611</v>
      </c>
      <c r="C176" s="54" t="s">
        <v>612</v>
      </c>
      <c r="D176" s="54" t="s">
        <v>613</v>
      </c>
      <c r="E176" s="54" t="s">
        <v>614</v>
      </c>
    </row>
    <row r="177" spans="1:5" ht="10.5" customHeight="1" x14ac:dyDescent="0.3">
      <c r="A177" s="48">
        <f t="shared" si="2"/>
        <v>176</v>
      </c>
      <c r="B177" s="49" t="s">
        <v>306</v>
      </c>
      <c r="C177" s="49" t="s">
        <v>307</v>
      </c>
      <c r="D177" s="49" t="s">
        <v>308</v>
      </c>
      <c r="E177" s="49" t="s">
        <v>309</v>
      </c>
    </row>
    <row r="178" spans="1:5" ht="10.5" customHeight="1" x14ac:dyDescent="0.3">
      <c r="A178" s="48">
        <f t="shared" si="2"/>
        <v>177</v>
      </c>
      <c r="B178" s="49" t="s">
        <v>303</v>
      </c>
      <c r="C178" s="49" t="s">
        <v>828</v>
      </c>
      <c r="D178" s="49" t="s">
        <v>304</v>
      </c>
      <c r="E178" s="49" t="s">
        <v>305</v>
      </c>
    </row>
    <row r="179" spans="1:5" ht="10.5" customHeight="1" x14ac:dyDescent="0.3">
      <c r="A179" s="48">
        <f t="shared" si="2"/>
        <v>178</v>
      </c>
      <c r="B179" s="54" t="s">
        <v>607</v>
      </c>
      <c r="C179" s="54" t="s">
        <v>608</v>
      </c>
      <c r="D179" s="54" t="s">
        <v>609</v>
      </c>
      <c r="E179" s="54" t="s">
        <v>610</v>
      </c>
    </row>
    <row r="180" spans="1:5" ht="10.5" customHeight="1" x14ac:dyDescent="0.3">
      <c r="A180" s="48">
        <f t="shared" si="2"/>
        <v>179</v>
      </c>
      <c r="B180" s="54" t="s">
        <v>673</v>
      </c>
      <c r="C180" s="54" t="s">
        <v>674</v>
      </c>
      <c r="D180" s="49" t="s">
        <v>675</v>
      </c>
      <c r="E180" s="49" t="s">
        <v>676</v>
      </c>
    </row>
    <row r="181" spans="1:5" ht="10.5" customHeight="1" x14ac:dyDescent="0.3">
      <c r="A181" s="48">
        <f t="shared" si="2"/>
        <v>180</v>
      </c>
      <c r="B181" s="54" t="s">
        <v>797</v>
      </c>
      <c r="C181" s="54" t="s">
        <v>798</v>
      </c>
      <c r="D181" s="54" t="s">
        <v>800</v>
      </c>
      <c r="E181" s="54" t="s">
        <v>799</v>
      </c>
    </row>
    <row r="182" spans="1:5" ht="10.5" customHeight="1" x14ac:dyDescent="0.3">
      <c r="A182" s="48">
        <f t="shared" si="2"/>
        <v>181</v>
      </c>
      <c r="B182" s="49" t="s">
        <v>311</v>
      </c>
      <c r="C182" s="49" t="s">
        <v>312</v>
      </c>
      <c r="D182" s="49" t="s">
        <v>313</v>
      </c>
      <c r="E182" s="49" t="s">
        <v>314</v>
      </c>
    </row>
    <row r="183" spans="1:5" ht="10.5" customHeight="1" x14ac:dyDescent="0.3">
      <c r="A183" s="48">
        <f t="shared" si="2"/>
        <v>182</v>
      </c>
      <c r="B183" s="54" t="s">
        <v>671</v>
      </c>
      <c r="C183" s="54" t="s">
        <v>672</v>
      </c>
      <c r="D183" s="54" t="s">
        <v>423</v>
      </c>
      <c r="E183" s="54" t="s">
        <v>424</v>
      </c>
    </row>
    <row r="184" spans="1:5" ht="10.5" customHeight="1" x14ac:dyDescent="0.3">
      <c r="A184" s="48">
        <f t="shared" si="2"/>
        <v>183</v>
      </c>
      <c r="B184" s="54" t="s">
        <v>458</v>
      </c>
      <c r="C184" s="54" t="s">
        <v>459</v>
      </c>
      <c r="D184" s="54" t="s">
        <v>460</v>
      </c>
      <c r="E184" s="54" t="s">
        <v>461</v>
      </c>
    </row>
    <row r="185" spans="1:5" ht="10.5" customHeight="1" x14ac:dyDescent="0.3">
      <c r="A185" s="48">
        <f t="shared" si="2"/>
        <v>184</v>
      </c>
      <c r="B185" s="49" t="s">
        <v>315</v>
      </c>
      <c r="C185" s="49" t="s">
        <v>316</v>
      </c>
      <c r="D185" s="49" t="s">
        <v>318</v>
      </c>
      <c r="E185" s="49" t="s">
        <v>317</v>
      </c>
    </row>
    <row r="186" spans="1:5" ht="10.5" customHeight="1" x14ac:dyDescent="0.3">
      <c r="A186" s="48">
        <f t="shared" si="2"/>
        <v>185</v>
      </c>
      <c r="B186" s="49" t="s">
        <v>319</v>
      </c>
      <c r="C186" s="49" t="s">
        <v>320</v>
      </c>
      <c r="D186" s="49" t="s">
        <v>322</v>
      </c>
      <c r="E186" s="49" t="s">
        <v>321</v>
      </c>
    </row>
    <row r="187" spans="1:5" ht="10.5" customHeight="1" x14ac:dyDescent="0.3">
      <c r="A187" s="48">
        <f t="shared" si="2"/>
        <v>186</v>
      </c>
      <c r="B187" s="49" t="s">
        <v>329</v>
      </c>
      <c r="C187" s="54" t="s">
        <v>323</v>
      </c>
      <c r="D187" s="49" t="s">
        <v>341</v>
      </c>
      <c r="E187" s="49" t="s">
        <v>335</v>
      </c>
    </row>
    <row r="188" spans="1:5" ht="10.5" customHeight="1" x14ac:dyDescent="0.3">
      <c r="A188" s="48">
        <f t="shared" si="2"/>
        <v>187</v>
      </c>
      <c r="B188" s="49" t="s">
        <v>330</v>
      </c>
      <c r="C188" s="54" t="s">
        <v>324</v>
      </c>
      <c r="D188" s="49" t="s">
        <v>342</v>
      </c>
      <c r="E188" s="49" t="s">
        <v>336</v>
      </c>
    </row>
    <row r="189" spans="1:5" ht="10.5" customHeight="1" x14ac:dyDescent="0.3">
      <c r="A189" s="48">
        <f t="shared" si="2"/>
        <v>188</v>
      </c>
      <c r="B189" s="49" t="s">
        <v>331</v>
      </c>
      <c r="C189" s="54" t="s">
        <v>325</v>
      </c>
      <c r="D189" s="49" t="s">
        <v>343</v>
      </c>
      <c r="E189" s="49" t="s">
        <v>337</v>
      </c>
    </row>
    <row r="190" spans="1:5" ht="10.5" customHeight="1" x14ac:dyDescent="0.3">
      <c r="A190" s="48">
        <f t="shared" si="2"/>
        <v>189</v>
      </c>
      <c r="B190" s="49" t="s">
        <v>332</v>
      </c>
      <c r="C190" s="54" t="s">
        <v>326</v>
      </c>
      <c r="D190" s="49" t="s">
        <v>344</v>
      </c>
      <c r="E190" s="49" t="s">
        <v>338</v>
      </c>
    </row>
    <row r="191" spans="1:5" ht="10.5" customHeight="1" x14ac:dyDescent="0.3">
      <c r="A191" s="48">
        <f t="shared" si="2"/>
        <v>190</v>
      </c>
      <c r="B191" s="49" t="s">
        <v>333</v>
      </c>
      <c r="C191" s="54" t="s">
        <v>327</v>
      </c>
      <c r="D191" s="49" t="s">
        <v>345</v>
      </c>
      <c r="E191" s="49" t="s">
        <v>339</v>
      </c>
    </row>
    <row r="192" spans="1:5" ht="10.5" customHeight="1" x14ac:dyDescent="0.3">
      <c r="A192" s="48">
        <f t="shared" si="2"/>
        <v>191</v>
      </c>
      <c r="B192" s="49" t="s">
        <v>334</v>
      </c>
      <c r="C192" s="54" t="s">
        <v>328</v>
      </c>
      <c r="D192" s="49" t="s">
        <v>346</v>
      </c>
      <c r="E192" s="49" t="s">
        <v>340</v>
      </c>
    </row>
    <row r="193" spans="1:5" ht="10.5" customHeight="1" x14ac:dyDescent="0.3">
      <c r="A193" s="48">
        <f t="shared" si="2"/>
        <v>192</v>
      </c>
      <c r="B193" s="49" t="s">
        <v>854</v>
      </c>
      <c r="C193" s="54" t="s">
        <v>855</v>
      </c>
      <c r="D193" s="49" t="s">
        <v>856</v>
      </c>
      <c r="E193" s="49" t="s">
        <v>857</v>
      </c>
    </row>
    <row r="194" spans="1:5" ht="10.5" customHeight="1" x14ac:dyDescent="0.3">
      <c r="A194" s="48">
        <f t="shared" si="2"/>
        <v>193</v>
      </c>
      <c r="B194" s="49" t="s">
        <v>875</v>
      </c>
      <c r="C194" s="49" t="s">
        <v>876</v>
      </c>
      <c r="D194" s="49" t="s">
        <v>877</v>
      </c>
      <c r="E194" s="49" t="s">
        <v>878</v>
      </c>
    </row>
    <row r="195" spans="1:5" ht="10.5" customHeight="1" x14ac:dyDescent="0.3">
      <c r="A195" s="48">
        <f t="shared" ref="A195:A258" si="3">A194+1</f>
        <v>194</v>
      </c>
      <c r="B195" s="49" t="s">
        <v>706</v>
      </c>
      <c r="C195" s="54" t="s">
        <v>707</v>
      </c>
      <c r="D195" s="49" t="s">
        <v>708</v>
      </c>
      <c r="E195" s="49" t="s">
        <v>709</v>
      </c>
    </row>
    <row r="196" spans="1:5" ht="10.5" customHeight="1" x14ac:dyDescent="0.3">
      <c r="A196" s="48">
        <f t="shared" si="3"/>
        <v>195</v>
      </c>
      <c r="B196" s="49" t="s">
        <v>974</v>
      </c>
      <c r="C196" s="54" t="s">
        <v>975</v>
      </c>
      <c r="D196" s="49" t="s">
        <v>976</v>
      </c>
      <c r="E196" s="49" t="s">
        <v>977</v>
      </c>
    </row>
    <row r="197" spans="1:5" ht="10.5" customHeight="1" x14ac:dyDescent="0.3">
      <c r="A197" s="48">
        <f t="shared" si="3"/>
        <v>196</v>
      </c>
      <c r="B197" s="70" t="s">
        <v>932</v>
      </c>
      <c r="C197" s="54" t="s">
        <v>933</v>
      </c>
      <c r="D197" s="49" t="s">
        <v>934</v>
      </c>
      <c r="E197" s="49" t="s">
        <v>935</v>
      </c>
    </row>
    <row r="198" spans="1:5" ht="10.5" customHeight="1" x14ac:dyDescent="0.3">
      <c r="A198" s="48">
        <f t="shared" si="3"/>
        <v>197</v>
      </c>
      <c r="B198" s="54" t="s">
        <v>1050</v>
      </c>
      <c r="C198" s="54" t="s">
        <v>1051</v>
      </c>
      <c r="D198" s="54" t="s">
        <v>1052</v>
      </c>
      <c r="E198" s="54" t="s">
        <v>1053</v>
      </c>
    </row>
    <row r="199" spans="1:5" ht="10.5" customHeight="1" x14ac:dyDescent="0.3">
      <c r="A199" s="48">
        <f t="shared" si="3"/>
        <v>198</v>
      </c>
      <c r="B199" s="54" t="s">
        <v>599</v>
      </c>
      <c r="C199" s="54" t="s">
        <v>600</v>
      </c>
      <c r="D199" s="54" t="s">
        <v>601</v>
      </c>
      <c r="E199" s="54" t="s">
        <v>602</v>
      </c>
    </row>
    <row r="200" spans="1:5" ht="10.5" customHeight="1" x14ac:dyDescent="0.3">
      <c r="A200" s="48">
        <f t="shared" si="3"/>
        <v>199</v>
      </c>
      <c r="B200" s="54" t="s">
        <v>603</v>
      </c>
      <c r="C200" s="54" t="s">
        <v>604</v>
      </c>
      <c r="D200" s="54" t="s">
        <v>605</v>
      </c>
      <c r="E200" s="54" t="s">
        <v>606</v>
      </c>
    </row>
    <row r="201" spans="1:5" ht="10.5" customHeight="1" x14ac:dyDescent="0.3">
      <c r="A201" s="48">
        <f t="shared" si="3"/>
        <v>200</v>
      </c>
      <c r="B201" s="49" t="s">
        <v>710</v>
      </c>
      <c r="C201" s="49" t="s">
        <v>713</v>
      </c>
      <c r="D201" s="49" t="s">
        <v>711</v>
      </c>
      <c r="E201" s="49" t="s">
        <v>712</v>
      </c>
    </row>
    <row r="202" spans="1:5" ht="10.5" customHeight="1" x14ac:dyDescent="0.3">
      <c r="A202" s="48">
        <f t="shared" si="3"/>
        <v>201</v>
      </c>
      <c r="B202" s="49" t="s">
        <v>347</v>
      </c>
      <c r="C202" s="53" t="s">
        <v>348</v>
      </c>
      <c r="D202" s="49" t="s">
        <v>350</v>
      </c>
      <c r="E202" s="49" t="s">
        <v>349</v>
      </c>
    </row>
    <row r="203" spans="1:5" ht="10.5" customHeight="1" x14ac:dyDescent="0.3">
      <c r="A203" s="48">
        <f t="shared" si="3"/>
        <v>202</v>
      </c>
      <c r="B203" s="49" t="s">
        <v>351</v>
      </c>
      <c r="C203" s="49" t="s">
        <v>352</v>
      </c>
      <c r="D203" s="49" t="s">
        <v>353</v>
      </c>
      <c r="E203" s="49" t="s">
        <v>354</v>
      </c>
    </row>
    <row r="204" spans="1:5" ht="10.5" customHeight="1" x14ac:dyDescent="0.3">
      <c r="A204" s="48">
        <f t="shared" si="3"/>
        <v>203</v>
      </c>
      <c r="B204" s="54" t="s">
        <v>595</v>
      </c>
      <c r="C204" s="54" t="s">
        <v>596</v>
      </c>
      <c r="D204" s="54" t="s">
        <v>597</v>
      </c>
      <c r="E204" s="54" t="s">
        <v>598</v>
      </c>
    </row>
    <row r="205" spans="1:5" ht="10.5" customHeight="1" x14ac:dyDescent="0.3">
      <c r="A205" s="48">
        <f>A204+1</f>
        <v>204</v>
      </c>
      <c r="B205" s="54" t="s">
        <v>359</v>
      </c>
      <c r="C205" s="54" t="s">
        <v>360</v>
      </c>
      <c r="D205" s="49" t="s">
        <v>361</v>
      </c>
      <c r="E205" s="49" t="s">
        <v>362</v>
      </c>
    </row>
    <row r="206" spans="1:5" ht="10.5" customHeight="1" x14ac:dyDescent="0.3">
      <c r="A206" s="48">
        <f t="shared" ref="A206" si="4">A205+1</f>
        <v>205</v>
      </c>
      <c r="B206" s="55" t="s">
        <v>409</v>
      </c>
      <c r="C206" s="55" t="s">
        <v>410</v>
      </c>
      <c r="D206" s="49" t="s">
        <v>411</v>
      </c>
      <c r="E206" s="49" t="s">
        <v>412</v>
      </c>
    </row>
    <row r="207" spans="1:5" ht="10.5" customHeight="1" x14ac:dyDescent="0.3">
      <c r="A207" s="48">
        <f>A206+1</f>
        <v>206</v>
      </c>
      <c r="B207" s="54" t="s">
        <v>363</v>
      </c>
      <c r="C207" s="54" t="s">
        <v>364</v>
      </c>
      <c r="D207" s="49" t="s">
        <v>365</v>
      </c>
      <c r="E207" s="49" t="s">
        <v>366</v>
      </c>
    </row>
    <row r="208" spans="1:5" ht="10.5" customHeight="1" x14ac:dyDescent="0.3">
      <c r="A208" s="48">
        <f t="shared" si="3"/>
        <v>207</v>
      </c>
      <c r="B208" s="49" t="s">
        <v>367</v>
      </c>
      <c r="C208" s="49" t="s">
        <v>368</v>
      </c>
      <c r="D208" s="49" t="s">
        <v>369</v>
      </c>
      <c r="E208" s="49" t="s">
        <v>370</v>
      </c>
    </row>
    <row r="209" spans="1:5" ht="10.5" customHeight="1" x14ac:dyDescent="0.3">
      <c r="A209" s="48">
        <f t="shared" si="3"/>
        <v>208</v>
      </c>
      <c r="B209" s="54" t="s">
        <v>615</v>
      </c>
      <c r="C209" s="54" t="s">
        <v>616</v>
      </c>
      <c r="D209" s="54" t="s">
        <v>617</v>
      </c>
      <c r="E209" s="54" t="s">
        <v>618</v>
      </c>
    </row>
    <row r="210" spans="1:5" ht="10.5" customHeight="1" x14ac:dyDescent="0.3">
      <c r="A210" s="48">
        <f t="shared" si="3"/>
        <v>209</v>
      </c>
      <c r="B210" s="54" t="s">
        <v>777</v>
      </c>
      <c r="C210" s="54" t="s">
        <v>780</v>
      </c>
      <c r="D210" s="54" t="s">
        <v>783</v>
      </c>
      <c r="E210" s="54" t="s">
        <v>786</v>
      </c>
    </row>
    <row r="211" spans="1:5" ht="10.5" customHeight="1" x14ac:dyDescent="0.3">
      <c r="A211" s="48">
        <f t="shared" si="3"/>
        <v>210</v>
      </c>
      <c r="B211" s="54" t="s">
        <v>778</v>
      </c>
      <c r="C211" s="54" t="s">
        <v>781</v>
      </c>
      <c r="D211" s="54" t="s">
        <v>784</v>
      </c>
      <c r="E211" s="54" t="s">
        <v>787</v>
      </c>
    </row>
    <row r="212" spans="1:5" ht="10.5" customHeight="1" x14ac:dyDescent="0.3">
      <c r="A212" s="48">
        <f t="shared" si="3"/>
        <v>211</v>
      </c>
      <c r="B212" s="54" t="s">
        <v>779</v>
      </c>
      <c r="C212" s="54" t="s">
        <v>782</v>
      </c>
      <c r="D212" s="54" t="s">
        <v>785</v>
      </c>
      <c r="E212" s="54" t="s">
        <v>788</v>
      </c>
    </row>
    <row r="213" spans="1:5" ht="10.5" customHeight="1" x14ac:dyDescent="0.3">
      <c r="A213" s="48">
        <f t="shared" si="3"/>
        <v>212</v>
      </c>
      <c r="B213" s="49" t="s">
        <v>963</v>
      </c>
      <c r="C213" s="49" t="s">
        <v>964</v>
      </c>
      <c r="D213" s="49" t="s">
        <v>966</v>
      </c>
      <c r="E213" s="49" t="s">
        <v>965</v>
      </c>
    </row>
    <row r="214" spans="1:5" ht="10.5" customHeight="1" x14ac:dyDescent="0.3">
      <c r="A214" s="48">
        <f t="shared" si="3"/>
        <v>213</v>
      </c>
      <c r="B214" s="49" t="s">
        <v>426</v>
      </c>
      <c r="C214" s="49" t="s">
        <v>427</v>
      </c>
      <c r="D214" s="49" t="s">
        <v>428</v>
      </c>
      <c r="E214" s="49" t="s">
        <v>429</v>
      </c>
    </row>
    <row r="215" spans="1:5" ht="10.5" customHeight="1" x14ac:dyDescent="0.3">
      <c r="A215" s="48">
        <f>A214+1</f>
        <v>214</v>
      </c>
      <c r="B215" s="54" t="s">
        <v>378</v>
      </c>
      <c r="C215" s="54" t="s">
        <v>379</v>
      </c>
      <c r="D215" s="49" t="s">
        <v>380</v>
      </c>
      <c r="E215" s="49" t="s">
        <v>381</v>
      </c>
    </row>
    <row r="216" spans="1:5" ht="10.5" customHeight="1" x14ac:dyDescent="0.3">
      <c r="A216" s="48">
        <f>A215+1</f>
        <v>215</v>
      </c>
      <c r="B216" s="54" t="s">
        <v>382</v>
      </c>
      <c r="C216" s="54" t="s">
        <v>383</v>
      </c>
      <c r="D216" s="49" t="s">
        <v>384</v>
      </c>
      <c r="E216" s="49" t="s">
        <v>385</v>
      </c>
    </row>
    <row r="217" spans="1:5" ht="10.5" customHeight="1" x14ac:dyDescent="0.3">
      <c r="A217" s="48">
        <f t="shared" si="3"/>
        <v>216</v>
      </c>
      <c r="B217" s="54" t="s">
        <v>593</v>
      </c>
      <c r="C217" s="54" t="s">
        <v>594</v>
      </c>
      <c r="D217" s="54" t="s">
        <v>591</v>
      </c>
      <c r="E217" s="54" t="s">
        <v>592</v>
      </c>
    </row>
    <row r="218" spans="1:5" ht="10.5" customHeight="1" x14ac:dyDescent="0.3">
      <c r="A218" s="48">
        <f>A217+1</f>
        <v>217</v>
      </c>
      <c r="B218" s="54" t="s">
        <v>389</v>
      </c>
      <c r="C218" s="54" t="s">
        <v>390</v>
      </c>
      <c r="D218" s="49" t="s">
        <v>391</v>
      </c>
      <c r="E218" s="49" t="s">
        <v>392</v>
      </c>
    </row>
    <row r="219" spans="1:5" ht="10.5" customHeight="1" x14ac:dyDescent="0.3">
      <c r="A219" s="48">
        <f t="shared" si="3"/>
        <v>218</v>
      </c>
      <c r="B219" s="49" t="s">
        <v>393</v>
      </c>
      <c r="C219" s="49" t="s">
        <v>394</v>
      </c>
      <c r="D219" s="49" t="s">
        <v>395</v>
      </c>
      <c r="E219" s="49" t="s">
        <v>396</v>
      </c>
    </row>
    <row r="220" spans="1:5" ht="10.5" customHeight="1" x14ac:dyDescent="0.3">
      <c r="A220" s="48">
        <f>A219+1</f>
        <v>219</v>
      </c>
      <c r="B220" s="54" t="s">
        <v>397</v>
      </c>
      <c r="C220" s="54" t="s">
        <v>398</v>
      </c>
      <c r="D220" s="49" t="s">
        <v>399</v>
      </c>
      <c r="E220" s="49" t="s">
        <v>400</v>
      </c>
    </row>
    <row r="221" spans="1:5" ht="10.5" customHeight="1" x14ac:dyDescent="0.3">
      <c r="A221" s="48">
        <f t="shared" si="3"/>
        <v>220</v>
      </c>
      <c r="B221" s="49" t="s">
        <v>401</v>
      </c>
      <c r="C221" s="49" t="s">
        <v>404</v>
      </c>
      <c r="D221" s="49" t="s">
        <v>403</v>
      </c>
      <c r="E221" s="49" t="s">
        <v>402</v>
      </c>
    </row>
    <row r="222" spans="1:5" ht="10.5" customHeight="1" x14ac:dyDescent="0.3">
      <c r="A222" s="48">
        <f>A221+1</f>
        <v>221</v>
      </c>
      <c r="B222" s="54" t="s">
        <v>419</v>
      </c>
      <c r="C222" s="54" t="s">
        <v>420</v>
      </c>
      <c r="D222" s="49" t="s">
        <v>421</v>
      </c>
      <c r="E222" s="49" t="s">
        <v>422</v>
      </c>
    </row>
    <row r="223" spans="1:5" ht="10.5" customHeight="1" x14ac:dyDescent="0.3">
      <c r="A223" s="48">
        <f t="shared" si="3"/>
        <v>222</v>
      </c>
      <c r="B223" s="49" t="s">
        <v>415</v>
      </c>
      <c r="C223" s="49" t="s">
        <v>416</v>
      </c>
      <c r="D223" s="49" t="s">
        <v>418</v>
      </c>
      <c r="E223" s="49" t="s">
        <v>417</v>
      </c>
    </row>
    <row r="224" spans="1:5" ht="10.5" customHeight="1" x14ac:dyDescent="0.3">
      <c r="A224" s="48">
        <f t="shared" si="3"/>
        <v>223</v>
      </c>
      <c r="B224" s="49" t="s">
        <v>639</v>
      </c>
      <c r="C224" s="49" t="s">
        <v>640</v>
      </c>
      <c r="D224" s="49" t="s">
        <v>641</v>
      </c>
      <c r="E224" s="49" t="s">
        <v>642</v>
      </c>
    </row>
    <row r="225" spans="1:5" ht="10.5" customHeight="1" x14ac:dyDescent="0.3">
      <c r="A225" s="48">
        <f t="shared" si="3"/>
        <v>224</v>
      </c>
      <c r="B225" s="53" t="s">
        <v>1074</v>
      </c>
      <c r="C225" s="49" t="s">
        <v>1075</v>
      </c>
      <c r="D225" s="49" t="s">
        <v>1077</v>
      </c>
      <c r="E225" s="49" t="s">
        <v>1076</v>
      </c>
    </row>
    <row r="226" spans="1:5" ht="10.5" customHeight="1" x14ac:dyDescent="0.3">
      <c r="A226" s="48">
        <f t="shared" si="3"/>
        <v>225</v>
      </c>
      <c r="B226" s="54" t="s">
        <v>443</v>
      </c>
      <c r="C226" s="54" t="s">
        <v>445</v>
      </c>
      <c r="D226" s="54" t="s">
        <v>451</v>
      </c>
      <c r="E226" s="54" t="s">
        <v>448</v>
      </c>
    </row>
    <row r="227" spans="1:5" ht="10.5" customHeight="1" x14ac:dyDescent="0.3">
      <c r="A227" s="48">
        <f t="shared" si="3"/>
        <v>226</v>
      </c>
      <c r="B227" s="54" t="s">
        <v>442</v>
      </c>
      <c r="C227" s="54" t="s">
        <v>446</v>
      </c>
      <c r="D227" s="54" t="s">
        <v>452</v>
      </c>
      <c r="E227" s="54" t="s">
        <v>449</v>
      </c>
    </row>
    <row r="228" spans="1:5" ht="10.5" customHeight="1" x14ac:dyDescent="0.3">
      <c r="A228" s="48">
        <f t="shared" si="3"/>
        <v>227</v>
      </c>
      <c r="B228" s="54" t="s">
        <v>444</v>
      </c>
      <c r="C228" s="54" t="s">
        <v>447</v>
      </c>
      <c r="D228" s="54" t="s">
        <v>453</v>
      </c>
      <c r="E228" s="54" t="s">
        <v>450</v>
      </c>
    </row>
    <row r="229" spans="1:5" ht="10.5" customHeight="1" x14ac:dyDescent="0.3">
      <c r="A229" s="48">
        <f>A228+1</f>
        <v>228</v>
      </c>
      <c r="B229" s="54" t="s">
        <v>462</v>
      </c>
      <c r="C229" s="54" t="s">
        <v>463</v>
      </c>
      <c r="D229" s="49" t="s">
        <v>464</v>
      </c>
      <c r="E229" s="49" t="s">
        <v>465</v>
      </c>
    </row>
    <row r="230" spans="1:5" ht="10.5" customHeight="1" x14ac:dyDescent="0.3">
      <c r="A230" s="48">
        <f t="shared" ref="A230" si="5">A229+1</f>
        <v>229</v>
      </c>
      <c r="B230" s="55" t="s">
        <v>466</v>
      </c>
      <c r="C230" s="55" t="s">
        <v>467</v>
      </c>
      <c r="D230" s="49" t="s">
        <v>468</v>
      </c>
      <c r="E230" s="49" t="s">
        <v>677</v>
      </c>
    </row>
    <row r="231" spans="1:5" ht="10.5" customHeight="1" x14ac:dyDescent="0.3">
      <c r="A231" s="48">
        <f t="shared" si="3"/>
        <v>230</v>
      </c>
      <c r="B231" s="50" t="s">
        <v>1097</v>
      </c>
      <c r="C231" s="49" t="s">
        <v>1098</v>
      </c>
      <c r="D231" s="49" t="s">
        <v>1099</v>
      </c>
      <c r="E231" s="49" t="s">
        <v>1100</v>
      </c>
    </row>
    <row r="232" spans="1:5" ht="10.5" customHeight="1" x14ac:dyDescent="0.3">
      <c r="A232" s="48">
        <f t="shared" si="3"/>
        <v>231</v>
      </c>
      <c r="B232" s="53" t="s">
        <v>1081</v>
      </c>
      <c r="C232" s="49" t="s">
        <v>1082</v>
      </c>
      <c r="D232" s="49" t="s">
        <v>1083</v>
      </c>
      <c r="E232" s="49" t="s">
        <v>1084</v>
      </c>
    </row>
    <row r="233" spans="1:5" ht="10.5" customHeight="1" x14ac:dyDescent="0.3">
      <c r="A233" s="48">
        <f t="shared" si="3"/>
        <v>232</v>
      </c>
      <c r="B233" s="56" t="s">
        <v>1089</v>
      </c>
      <c r="C233" s="56" t="s">
        <v>1090</v>
      </c>
      <c r="D233" s="56" t="s">
        <v>1091</v>
      </c>
      <c r="E233" s="56" t="s">
        <v>1092</v>
      </c>
    </row>
    <row r="234" spans="1:5" ht="10.5" customHeight="1" x14ac:dyDescent="0.3">
      <c r="A234" s="48">
        <f t="shared" si="3"/>
        <v>233</v>
      </c>
      <c r="B234" s="54" t="s">
        <v>678</v>
      </c>
      <c r="C234" s="54" t="s">
        <v>682</v>
      </c>
      <c r="D234" s="54" t="s">
        <v>686</v>
      </c>
      <c r="E234" s="54" t="s">
        <v>692</v>
      </c>
    </row>
    <row r="235" spans="1:5" ht="10.5" customHeight="1" x14ac:dyDescent="0.3">
      <c r="A235" s="48">
        <f t="shared" si="3"/>
        <v>234</v>
      </c>
      <c r="B235" s="54" t="s">
        <v>680</v>
      </c>
      <c r="C235" s="54" t="s">
        <v>683</v>
      </c>
      <c r="D235" s="54" t="s">
        <v>687</v>
      </c>
      <c r="E235" s="54" t="s">
        <v>693</v>
      </c>
    </row>
    <row r="236" spans="1:5" ht="10.5" customHeight="1" x14ac:dyDescent="0.3">
      <c r="A236" s="48">
        <f t="shared" si="3"/>
        <v>235</v>
      </c>
      <c r="B236" s="54" t="s">
        <v>679</v>
      </c>
      <c r="C236" s="54" t="s">
        <v>684</v>
      </c>
      <c r="D236" s="54" t="s">
        <v>688</v>
      </c>
      <c r="E236" s="54" t="s">
        <v>690</v>
      </c>
    </row>
    <row r="237" spans="1:5" ht="10.5" customHeight="1" x14ac:dyDescent="0.3">
      <c r="A237" s="48">
        <f t="shared" si="3"/>
        <v>236</v>
      </c>
      <c r="B237" s="54" t="s">
        <v>681</v>
      </c>
      <c r="C237" s="54" t="s">
        <v>685</v>
      </c>
      <c r="D237" s="54" t="s">
        <v>689</v>
      </c>
      <c r="E237" s="54" t="s">
        <v>691</v>
      </c>
    </row>
    <row r="238" spans="1:5" ht="10.5" customHeight="1" x14ac:dyDescent="0.3">
      <c r="A238" s="48">
        <f t="shared" si="3"/>
        <v>237</v>
      </c>
      <c r="B238" s="49" t="s">
        <v>1007</v>
      </c>
      <c r="C238" s="49" t="s">
        <v>1006</v>
      </c>
      <c r="D238" s="49" t="s">
        <v>1008</v>
      </c>
      <c r="E238" s="49" t="s">
        <v>1009</v>
      </c>
    </row>
    <row r="239" spans="1:5" ht="10.5" customHeight="1" x14ac:dyDescent="0.3">
      <c r="A239" s="48">
        <f t="shared" si="3"/>
        <v>238</v>
      </c>
      <c r="B239" s="54" t="s">
        <v>879</v>
      </c>
      <c r="C239" s="54" t="s">
        <v>881</v>
      </c>
      <c r="D239" s="54" t="s">
        <v>883</v>
      </c>
      <c r="E239" s="54" t="s">
        <v>885</v>
      </c>
    </row>
    <row r="240" spans="1:5" ht="10.5" customHeight="1" x14ac:dyDescent="0.3">
      <c r="A240" s="48">
        <f t="shared" si="3"/>
        <v>239</v>
      </c>
      <c r="B240" s="54" t="s">
        <v>880</v>
      </c>
      <c r="C240" s="54" t="s">
        <v>882</v>
      </c>
      <c r="D240" s="54" t="s">
        <v>884</v>
      </c>
      <c r="E240" s="54" t="s">
        <v>886</v>
      </c>
    </row>
    <row r="241" spans="1:5" ht="10.5" customHeight="1" x14ac:dyDescent="0.3">
      <c r="A241" s="48">
        <f t="shared" si="3"/>
        <v>240</v>
      </c>
      <c r="B241" s="49" t="s">
        <v>937</v>
      </c>
      <c r="C241" s="49" t="s">
        <v>938</v>
      </c>
      <c r="D241" s="49" t="s">
        <v>939</v>
      </c>
      <c r="E241" s="49" t="s">
        <v>940</v>
      </c>
    </row>
    <row r="242" spans="1:5" ht="10.5" customHeight="1" x14ac:dyDescent="0.3">
      <c r="A242" s="48">
        <f t="shared" si="3"/>
        <v>241</v>
      </c>
      <c r="B242" s="54" t="s">
        <v>698</v>
      </c>
      <c r="C242" s="54" t="s">
        <v>699</v>
      </c>
      <c r="D242" s="54" t="s">
        <v>700</v>
      </c>
      <c r="E242" s="54" t="s">
        <v>701</v>
      </c>
    </row>
    <row r="243" spans="1:5" ht="10.5" customHeight="1" x14ac:dyDescent="0.3">
      <c r="A243" s="48">
        <f t="shared" si="3"/>
        <v>242</v>
      </c>
      <c r="B243" s="54" t="s">
        <v>999</v>
      </c>
      <c r="C243" s="49" t="s">
        <v>1002</v>
      </c>
      <c r="D243" s="49" t="s">
        <v>1003</v>
      </c>
      <c r="E243" s="49" t="s">
        <v>1014</v>
      </c>
    </row>
    <row r="244" spans="1:5" ht="10.5" customHeight="1" x14ac:dyDescent="0.3">
      <c r="A244" s="48">
        <f t="shared" si="3"/>
        <v>243</v>
      </c>
      <c r="B244" s="54" t="s">
        <v>1000</v>
      </c>
      <c r="C244" s="49" t="s">
        <v>1001</v>
      </c>
      <c r="D244" s="49" t="s">
        <v>1004</v>
      </c>
      <c r="E244" s="49" t="s">
        <v>1005</v>
      </c>
    </row>
    <row r="245" spans="1:5" ht="10.5" customHeight="1" x14ac:dyDescent="0.3">
      <c r="A245" s="48">
        <f t="shared" si="3"/>
        <v>244</v>
      </c>
      <c r="B245" s="54" t="s">
        <v>801</v>
      </c>
      <c r="C245" s="54" t="s">
        <v>802</v>
      </c>
      <c r="D245" s="49" t="s">
        <v>803</v>
      </c>
      <c r="E245" s="49" t="s">
        <v>804</v>
      </c>
    </row>
    <row r="246" spans="1:5" ht="10.5" customHeight="1" x14ac:dyDescent="0.3">
      <c r="A246" s="48">
        <f t="shared" si="3"/>
        <v>245</v>
      </c>
      <c r="B246" s="54" t="s">
        <v>805</v>
      </c>
      <c r="C246" s="54" t="s">
        <v>806</v>
      </c>
      <c r="D246" s="49" t="s">
        <v>807</v>
      </c>
      <c r="E246" s="49" t="s">
        <v>808</v>
      </c>
    </row>
    <row r="247" spans="1:5" ht="10.5" customHeight="1" x14ac:dyDescent="0.3">
      <c r="A247" s="48">
        <f t="shared" si="3"/>
        <v>246</v>
      </c>
      <c r="B247" s="54" t="s">
        <v>809</v>
      </c>
      <c r="C247" s="54" t="s">
        <v>810</v>
      </c>
      <c r="D247" s="49" t="s">
        <v>811</v>
      </c>
      <c r="E247" s="49" t="s">
        <v>812</v>
      </c>
    </row>
    <row r="248" spans="1:5" ht="10.5" customHeight="1" x14ac:dyDescent="0.3">
      <c r="A248" s="48">
        <f t="shared" si="3"/>
        <v>247</v>
      </c>
      <c r="B248" s="49" t="s">
        <v>1012</v>
      </c>
      <c r="C248" s="49" t="s">
        <v>1011</v>
      </c>
      <c r="D248" s="49" t="s">
        <v>1010</v>
      </c>
      <c r="E248" s="49" t="s">
        <v>1013</v>
      </c>
    </row>
    <row r="249" spans="1:5" ht="10.5" customHeight="1" x14ac:dyDescent="0.3">
      <c r="A249" s="48">
        <f t="shared" si="3"/>
        <v>248</v>
      </c>
      <c r="B249" s="49" t="s">
        <v>813</v>
      </c>
      <c r="C249" s="49" t="s">
        <v>816</v>
      </c>
      <c r="D249" s="49" t="s">
        <v>823</v>
      </c>
      <c r="E249" s="49" t="s">
        <v>824</v>
      </c>
    </row>
    <row r="250" spans="1:5" ht="10.5" customHeight="1" x14ac:dyDescent="0.3">
      <c r="A250" s="48">
        <f t="shared" si="3"/>
        <v>249</v>
      </c>
      <c r="B250" s="49" t="s">
        <v>814</v>
      </c>
      <c r="C250" s="49" t="s">
        <v>817</v>
      </c>
      <c r="D250" s="49" t="s">
        <v>821</v>
      </c>
      <c r="E250" s="49" t="s">
        <v>819</v>
      </c>
    </row>
    <row r="251" spans="1:5" ht="10.5" customHeight="1" x14ac:dyDescent="0.3">
      <c r="A251" s="48">
        <f t="shared" si="3"/>
        <v>250</v>
      </c>
      <c r="B251" s="49" t="s">
        <v>815</v>
      </c>
      <c r="C251" s="49" t="s">
        <v>818</v>
      </c>
      <c r="D251" s="49" t="s">
        <v>822</v>
      </c>
      <c r="E251" s="49" t="s">
        <v>820</v>
      </c>
    </row>
    <row r="252" spans="1:5" ht="10.5" customHeight="1" x14ac:dyDescent="0.3">
      <c r="A252" s="48">
        <f t="shared" si="3"/>
        <v>251</v>
      </c>
      <c r="B252" s="54" t="s">
        <v>1085</v>
      </c>
      <c r="C252" s="54" t="s">
        <v>1086</v>
      </c>
      <c r="D252" s="49" t="s">
        <v>1087</v>
      </c>
      <c r="E252" s="49" t="s">
        <v>1088</v>
      </c>
    </row>
    <row r="253" spans="1:5" ht="10.5" customHeight="1" x14ac:dyDescent="0.3">
      <c r="A253" s="48">
        <f t="shared" si="3"/>
        <v>252</v>
      </c>
      <c r="B253" s="49" t="s">
        <v>869</v>
      </c>
      <c r="C253" s="49" t="s">
        <v>871</v>
      </c>
      <c r="D253" s="49" t="s">
        <v>873</v>
      </c>
      <c r="E253" s="49" t="s">
        <v>874</v>
      </c>
    </row>
    <row r="254" spans="1:5" ht="10.5" customHeight="1" x14ac:dyDescent="0.3">
      <c r="A254" s="48">
        <f t="shared" si="3"/>
        <v>253</v>
      </c>
      <c r="B254" s="49" t="s">
        <v>870</v>
      </c>
      <c r="C254" s="49" t="s">
        <v>872</v>
      </c>
      <c r="D254" s="49" t="s">
        <v>868</v>
      </c>
      <c r="E254" s="49" t="s">
        <v>867</v>
      </c>
    </row>
    <row r="255" spans="1:5" ht="10.5" customHeight="1" x14ac:dyDescent="0.3">
      <c r="A255" s="48">
        <f t="shared" si="3"/>
        <v>254</v>
      </c>
      <c r="B255" s="49" t="s">
        <v>959</v>
      </c>
      <c r="C255" s="49" t="s">
        <v>960</v>
      </c>
      <c r="D255" s="49" t="s">
        <v>961</v>
      </c>
      <c r="E255" s="49" t="s">
        <v>962</v>
      </c>
    </row>
    <row r="256" spans="1:5" ht="10.5" customHeight="1" x14ac:dyDescent="0.3">
      <c r="A256" s="48">
        <f t="shared" si="3"/>
        <v>255</v>
      </c>
      <c r="B256" s="49" t="s">
        <v>1094</v>
      </c>
      <c r="C256" s="49" t="s">
        <v>1093</v>
      </c>
      <c r="D256" s="49" t="s">
        <v>1096</v>
      </c>
      <c r="E256" s="49" t="s">
        <v>1095</v>
      </c>
    </row>
    <row r="257" spans="1:5" ht="10.5" customHeight="1" x14ac:dyDescent="0.3">
      <c r="A257" s="48">
        <f t="shared" si="3"/>
        <v>256</v>
      </c>
      <c r="B257" s="49" t="s">
        <v>1058</v>
      </c>
      <c r="C257" s="49" t="s">
        <v>1059</v>
      </c>
      <c r="D257" s="49" t="s">
        <v>1060</v>
      </c>
      <c r="E257" s="49" t="s">
        <v>1061</v>
      </c>
    </row>
    <row r="258" spans="1:5" ht="10.5" customHeight="1" x14ac:dyDescent="0.3">
      <c r="A258" s="48">
        <f t="shared" si="3"/>
        <v>257</v>
      </c>
      <c r="B258" s="49" t="s">
        <v>991</v>
      </c>
      <c r="C258" s="49" t="s">
        <v>992</v>
      </c>
      <c r="D258" s="49" t="s">
        <v>993</v>
      </c>
      <c r="E258" s="49" t="s">
        <v>994</v>
      </c>
    </row>
    <row r="259" spans="1:5" ht="10.5" customHeight="1" x14ac:dyDescent="0.3">
      <c r="A259" s="48">
        <f t="shared" ref="A259:A322" si="6">A258+1</f>
        <v>258</v>
      </c>
      <c r="B259" s="49" t="s">
        <v>995</v>
      </c>
      <c r="C259" s="49" t="s">
        <v>996</v>
      </c>
      <c r="D259" s="49" t="s">
        <v>997</v>
      </c>
      <c r="E259" s="49" t="s">
        <v>998</v>
      </c>
    </row>
    <row r="260" spans="1:5" ht="10.5" customHeight="1" x14ac:dyDescent="0.3">
      <c r="A260" s="48">
        <f t="shared" si="6"/>
        <v>259</v>
      </c>
      <c r="B260" s="49"/>
      <c r="C260" s="49"/>
      <c r="D260" s="49"/>
      <c r="E260" s="49"/>
    </row>
    <row r="261" spans="1:5" ht="10.5" customHeight="1" x14ac:dyDescent="0.3">
      <c r="A261" s="48">
        <f t="shared" si="6"/>
        <v>260</v>
      </c>
      <c r="B261" s="54" t="s">
        <v>912</v>
      </c>
      <c r="C261" s="49" t="s">
        <v>915</v>
      </c>
      <c r="D261" s="49" t="s">
        <v>918</v>
      </c>
      <c r="E261" s="49" t="s">
        <v>921</v>
      </c>
    </row>
    <row r="262" spans="1:5" ht="10.5" customHeight="1" x14ac:dyDescent="0.3">
      <c r="A262" s="48">
        <f t="shared" si="6"/>
        <v>261</v>
      </c>
      <c r="B262" s="54" t="s">
        <v>913</v>
      </c>
      <c r="C262" s="49" t="s">
        <v>916</v>
      </c>
      <c r="D262" s="49" t="s">
        <v>919</v>
      </c>
      <c r="E262" s="49" t="s">
        <v>922</v>
      </c>
    </row>
    <row r="263" spans="1:5" ht="10.5" customHeight="1" x14ac:dyDescent="0.3">
      <c r="A263" s="48">
        <f t="shared" si="6"/>
        <v>262</v>
      </c>
      <c r="B263" s="54" t="s">
        <v>914</v>
      </c>
      <c r="C263" s="49" t="s">
        <v>917</v>
      </c>
      <c r="D263" s="49" t="s">
        <v>920</v>
      </c>
      <c r="E263" s="49" t="s">
        <v>923</v>
      </c>
    </row>
    <row r="264" spans="1:5" ht="10.5" customHeight="1" x14ac:dyDescent="0.3">
      <c r="A264" s="48">
        <f t="shared" si="6"/>
        <v>263</v>
      </c>
      <c r="B264" s="54" t="s">
        <v>941</v>
      </c>
      <c r="C264" s="49" t="s">
        <v>942</v>
      </c>
      <c r="D264" s="49" t="s">
        <v>943</v>
      </c>
      <c r="E264" s="49" t="s">
        <v>944</v>
      </c>
    </row>
    <row r="265" spans="1:5" ht="10.5" customHeight="1" x14ac:dyDescent="0.3">
      <c r="A265" s="48">
        <f t="shared" si="6"/>
        <v>264</v>
      </c>
      <c r="B265" s="49" t="s">
        <v>924</v>
      </c>
      <c r="C265" s="49" t="s">
        <v>925</v>
      </c>
      <c r="D265" s="49" t="s">
        <v>927</v>
      </c>
      <c r="E265" s="49" t="s">
        <v>926</v>
      </c>
    </row>
    <row r="266" spans="1:5" ht="10.5" customHeight="1" x14ac:dyDescent="0.3">
      <c r="A266" s="48">
        <f t="shared" si="6"/>
        <v>265</v>
      </c>
      <c r="B266" s="70" t="s">
        <v>1101</v>
      </c>
      <c r="C266" s="70" t="s">
        <v>1102</v>
      </c>
      <c r="D266" s="70" t="s">
        <v>1104</v>
      </c>
      <c r="E266" s="70" t="s">
        <v>1103</v>
      </c>
    </row>
    <row r="267" spans="1:5" ht="10.5" customHeight="1" x14ac:dyDescent="0.3">
      <c r="A267" s="48">
        <f t="shared" si="6"/>
        <v>266</v>
      </c>
      <c r="B267" s="49" t="s">
        <v>928</v>
      </c>
      <c r="C267" s="49" t="s">
        <v>929</v>
      </c>
      <c r="D267" s="49" t="s">
        <v>931</v>
      </c>
      <c r="E267" s="49" t="s">
        <v>930</v>
      </c>
    </row>
    <row r="268" spans="1:5" ht="10.5" customHeight="1" x14ac:dyDescent="0.3">
      <c r="A268" s="48">
        <f t="shared" si="6"/>
        <v>267</v>
      </c>
      <c r="B268" s="49" t="s">
        <v>1054</v>
      </c>
      <c r="C268" s="49" t="s">
        <v>1055</v>
      </c>
      <c r="D268" s="49" t="s">
        <v>1056</v>
      </c>
      <c r="E268" s="49" t="s">
        <v>1057</v>
      </c>
    </row>
    <row r="269" spans="1:5" ht="10.5" customHeight="1" x14ac:dyDescent="0.3">
      <c r="A269" s="48">
        <f t="shared" si="6"/>
        <v>268</v>
      </c>
      <c r="B269" s="49"/>
      <c r="C269" s="49"/>
      <c r="D269" s="49"/>
      <c r="E269" s="49"/>
    </row>
    <row r="270" spans="1:5" ht="10.5" customHeight="1" x14ac:dyDescent="0.3">
      <c r="A270" s="48">
        <f t="shared" si="6"/>
        <v>269</v>
      </c>
      <c r="B270" s="49"/>
      <c r="C270" s="49"/>
      <c r="D270" s="49"/>
      <c r="E270" s="49"/>
    </row>
    <row r="271" spans="1:5" ht="10.5" customHeight="1" x14ac:dyDescent="0.3">
      <c r="A271" s="48">
        <f t="shared" si="6"/>
        <v>270</v>
      </c>
      <c r="B271" s="49" t="s">
        <v>1015</v>
      </c>
      <c r="C271" s="49" t="s">
        <v>1016</v>
      </c>
      <c r="D271" s="49" t="s">
        <v>1017</v>
      </c>
      <c r="E271" s="49" t="s">
        <v>1018</v>
      </c>
    </row>
    <row r="272" spans="1:5" ht="10.5" customHeight="1" x14ac:dyDescent="0.3">
      <c r="A272" s="48">
        <f t="shared" si="6"/>
        <v>271</v>
      </c>
      <c r="B272" s="49"/>
      <c r="C272" s="49"/>
      <c r="D272" s="49"/>
      <c r="E272" s="49"/>
    </row>
    <row r="273" spans="1:5" ht="10.5" customHeight="1" x14ac:dyDescent="0.3">
      <c r="A273" s="48">
        <f t="shared" si="6"/>
        <v>272</v>
      </c>
      <c r="B273" s="49"/>
      <c r="C273" s="49"/>
      <c r="D273" s="49"/>
      <c r="E273" s="49"/>
    </row>
    <row r="274" spans="1:5" ht="10.5" customHeight="1" x14ac:dyDescent="0.3">
      <c r="A274" s="48">
        <f t="shared" si="6"/>
        <v>273</v>
      </c>
      <c r="B274" s="54" t="s">
        <v>945</v>
      </c>
      <c r="C274" s="54" t="s">
        <v>947</v>
      </c>
      <c r="D274" s="54" t="s">
        <v>949</v>
      </c>
      <c r="E274" s="54" t="s">
        <v>951</v>
      </c>
    </row>
    <row r="275" spans="1:5" ht="10.5" customHeight="1" x14ac:dyDescent="0.3">
      <c r="A275" s="48">
        <f t="shared" si="6"/>
        <v>274</v>
      </c>
      <c r="B275" s="54" t="s">
        <v>946</v>
      </c>
      <c r="C275" s="54" t="s">
        <v>948</v>
      </c>
      <c r="D275" s="54" t="s">
        <v>950</v>
      </c>
      <c r="E275" s="54" t="s">
        <v>952</v>
      </c>
    </row>
    <row r="276" spans="1:5" ht="10.5" customHeight="1" x14ac:dyDescent="0.3">
      <c r="A276" s="48">
        <f t="shared" si="6"/>
        <v>275</v>
      </c>
      <c r="B276" s="49" t="s">
        <v>967</v>
      </c>
      <c r="C276" s="49" t="s">
        <v>968</v>
      </c>
      <c r="D276" s="49" t="s">
        <v>969</v>
      </c>
      <c r="E276" s="49" t="s">
        <v>970</v>
      </c>
    </row>
    <row r="277" spans="1:5" ht="10.5" customHeight="1" x14ac:dyDescent="0.3">
      <c r="A277" s="48">
        <f t="shared" si="6"/>
        <v>276</v>
      </c>
      <c r="B277" s="54"/>
      <c r="C277" s="54"/>
      <c r="D277" s="54"/>
      <c r="E277" s="54"/>
    </row>
    <row r="278" spans="1:5" ht="10.5" customHeight="1" x14ac:dyDescent="0.3">
      <c r="A278" s="48">
        <f t="shared" si="6"/>
        <v>277</v>
      </c>
      <c r="B278" s="49"/>
      <c r="C278" s="49"/>
      <c r="D278" s="49"/>
      <c r="E278" s="49"/>
    </row>
    <row r="279" spans="1:5" ht="10.5" customHeight="1" x14ac:dyDescent="0.3">
      <c r="A279" s="48">
        <f t="shared" si="6"/>
        <v>278</v>
      </c>
      <c r="B279" s="49"/>
      <c r="C279" s="49"/>
      <c r="D279" s="49"/>
      <c r="E279" s="49"/>
    </row>
    <row r="280" spans="1:5" ht="10.5" customHeight="1" x14ac:dyDescent="0.3">
      <c r="A280" s="48">
        <f t="shared" si="6"/>
        <v>279</v>
      </c>
      <c r="B280" s="49"/>
      <c r="C280" s="49"/>
      <c r="D280" s="49"/>
      <c r="E280" s="49"/>
    </row>
    <row r="281" spans="1:5" ht="10.5" customHeight="1" x14ac:dyDescent="0.3">
      <c r="A281" s="48">
        <f t="shared" si="6"/>
        <v>280</v>
      </c>
      <c r="B281" s="53" t="s">
        <v>1062</v>
      </c>
      <c r="C281" s="49" t="s">
        <v>1065</v>
      </c>
      <c r="D281" s="49" t="s">
        <v>1068</v>
      </c>
      <c r="E281" s="49" t="s">
        <v>1071</v>
      </c>
    </row>
    <row r="282" spans="1:5" ht="10.5" customHeight="1" x14ac:dyDescent="0.3">
      <c r="A282" s="48">
        <f t="shared" si="6"/>
        <v>281</v>
      </c>
      <c r="B282" s="53" t="s">
        <v>1063</v>
      </c>
      <c r="C282" s="49" t="s">
        <v>1066</v>
      </c>
      <c r="D282" s="49" t="s">
        <v>1069</v>
      </c>
      <c r="E282" s="49" t="s">
        <v>1072</v>
      </c>
    </row>
    <row r="283" spans="1:5" ht="10.5" customHeight="1" x14ac:dyDescent="0.3">
      <c r="A283" s="48">
        <f t="shared" si="6"/>
        <v>282</v>
      </c>
      <c r="B283" s="53" t="s">
        <v>1064</v>
      </c>
      <c r="C283" s="49" t="s">
        <v>1067</v>
      </c>
      <c r="D283" s="49" t="s">
        <v>1070</v>
      </c>
      <c r="E283" s="49" t="s">
        <v>1073</v>
      </c>
    </row>
    <row r="284" spans="1:5" ht="10.5" customHeight="1" x14ac:dyDescent="0.3">
      <c r="A284" s="48">
        <f t="shared" si="6"/>
        <v>283</v>
      </c>
      <c r="B284" s="49"/>
      <c r="C284" s="49"/>
      <c r="D284" s="49"/>
      <c r="E284" s="49"/>
    </row>
    <row r="285" spans="1:5" ht="10.5" customHeight="1" x14ac:dyDescent="0.3">
      <c r="A285" s="48">
        <f t="shared" si="6"/>
        <v>284</v>
      </c>
      <c r="B285" s="49"/>
      <c r="C285" s="49"/>
      <c r="D285" s="49"/>
      <c r="E285" s="49"/>
    </row>
    <row r="286" spans="1:5" ht="10.5" customHeight="1" x14ac:dyDescent="0.3">
      <c r="A286" s="48">
        <f t="shared" si="6"/>
        <v>285</v>
      </c>
      <c r="B286" s="50"/>
      <c r="C286" s="50"/>
      <c r="D286" s="49"/>
      <c r="E286" s="50"/>
    </row>
    <row r="287" spans="1:5" ht="10.5" customHeight="1" x14ac:dyDescent="0.3">
      <c r="A287" s="48">
        <f t="shared" si="6"/>
        <v>286</v>
      </c>
      <c r="B287" s="49"/>
      <c r="C287" s="49"/>
      <c r="D287" s="49"/>
      <c r="E287" s="49"/>
    </row>
    <row r="288" spans="1:5" ht="10.5" customHeight="1" x14ac:dyDescent="0.3">
      <c r="A288" s="48">
        <f t="shared" si="6"/>
        <v>287</v>
      </c>
      <c r="B288" s="49"/>
      <c r="C288" s="49"/>
      <c r="D288" s="49"/>
      <c r="E288" s="49"/>
    </row>
    <row r="289" spans="1:5" ht="10.5" customHeight="1" x14ac:dyDescent="0.3">
      <c r="A289" s="48">
        <f t="shared" si="6"/>
        <v>288</v>
      </c>
      <c r="B289" s="49"/>
      <c r="C289" s="49"/>
      <c r="D289" s="49"/>
      <c r="E289" s="49"/>
    </row>
    <row r="290" spans="1:5" ht="10.5" customHeight="1" x14ac:dyDescent="0.3">
      <c r="A290" s="48">
        <f t="shared" si="6"/>
        <v>289</v>
      </c>
      <c r="B290" s="49"/>
      <c r="C290" s="49"/>
      <c r="D290" s="49"/>
      <c r="E290" s="49"/>
    </row>
    <row r="291" spans="1:5" ht="10.5" customHeight="1" x14ac:dyDescent="0.3">
      <c r="A291" s="48">
        <f t="shared" si="6"/>
        <v>290</v>
      </c>
      <c r="B291" s="49"/>
      <c r="C291" s="49"/>
      <c r="D291" s="49"/>
      <c r="E291" s="49"/>
    </row>
    <row r="292" spans="1:5" ht="10.5" customHeight="1" x14ac:dyDescent="0.3">
      <c r="A292" s="48">
        <f t="shared" si="6"/>
        <v>291</v>
      </c>
      <c r="B292" s="49"/>
      <c r="C292" s="49"/>
      <c r="D292" s="49"/>
      <c r="E292" s="49"/>
    </row>
    <row r="293" spans="1:5" ht="10.5" customHeight="1" x14ac:dyDescent="0.3">
      <c r="A293" s="48">
        <f t="shared" si="6"/>
        <v>292</v>
      </c>
      <c r="B293" s="49"/>
      <c r="C293" s="49"/>
      <c r="D293" s="49"/>
      <c r="E293" s="49"/>
    </row>
    <row r="294" spans="1:5" ht="10.5" customHeight="1" x14ac:dyDescent="0.3">
      <c r="A294" s="48">
        <f t="shared" si="6"/>
        <v>293</v>
      </c>
      <c r="B294" s="49"/>
      <c r="C294" s="49"/>
      <c r="D294" s="49"/>
      <c r="E294" s="49"/>
    </row>
    <row r="295" spans="1:5" ht="10.5" customHeight="1" x14ac:dyDescent="0.3">
      <c r="A295" s="48">
        <f t="shared" si="6"/>
        <v>294</v>
      </c>
      <c r="B295" s="49"/>
      <c r="C295" s="49"/>
      <c r="D295" s="49"/>
      <c r="E295" s="49"/>
    </row>
    <row r="296" spans="1:5" ht="10.5" customHeight="1" x14ac:dyDescent="0.3">
      <c r="A296" s="48">
        <f t="shared" si="6"/>
        <v>295</v>
      </c>
      <c r="B296" s="49"/>
      <c r="C296" s="49"/>
      <c r="D296" s="49"/>
      <c r="E296" s="49"/>
    </row>
    <row r="297" spans="1:5" ht="10.5" customHeight="1" x14ac:dyDescent="0.3">
      <c r="A297" s="48">
        <f t="shared" si="6"/>
        <v>296</v>
      </c>
      <c r="B297" s="49"/>
      <c r="C297" s="49"/>
      <c r="D297" s="49"/>
      <c r="E297" s="49"/>
    </row>
    <row r="298" spans="1:5" ht="10.5" customHeight="1" x14ac:dyDescent="0.3">
      <c r="A298" s="48">
        <f t="shared" si="6"/>
        <v>297</v>
      </c>
      <c r="B298" s="49"/>
      <c r="C298" s="49"/>
      <c r="D298" s="49"/>
      <c r="E298" s="49"/>
    </row>
    <row r="299" spans="1:5" ht="10.5" customHeight="1" x14ac:dyDescent="0.3">
      <c r="A299" s="48">
        <f t="shared" si="6"/>
        <v>298</v>
      </c>
      <c r="B299" s="49"/>
      <c r="C299" s="49"/>
      <c r="D299" s="49"/>
      <c r="E299" s="49"/>
    </row>
    <row r="300" spans="1:5" ht="10.5" customHeight="1" x14ac:dyDescent="0.3">
      <c r="A300" s="48">
        <f t="shared" si="6"/>
        <v>299</v>
      </c>
      <c r="B300" s="49"/>
      <c r="C300" s="49"/>
      <c r="D300" s="49"/>
      <c r="E300" s="49"/>
    </row>
    <row r="301" spans="1:5" ht="10.5" customHeight="1" x14ac:dyDescent="0.3">
      <c r="A301" s="48">
        <f t="shared" si="6"/>
        <v>300</v>
      </c>
      <c r="B301" s="49"/>
      <c r="C301" s="49"/>
      <c r="D301" s="49"/>
      <c r="E301" s="49"/>
    </row>
    <row r="302" spans="1:5" ht="10.5" customHeight="1" x14ac:dyDescent="0.3">
      <c r="A302" s="48">
        <f t="shared" si="6"/>
        <v>301</v>
      </c>
      <c r="B302" s="49"/>
      <c r="C302" s="49"/>
      <c r="D302" s="49"/>
      <c r="E302" s="49"/>
    </row>
    <row r="303" spans="1:5" ht="10.5" customHeight="1" x14ac:dyDescent="0.3">
      <c r="A303" s="48">
        <f t="shared" si="6"/>
        <v>302</v>
      </c>
      <c r="B303" s="49"/>
      <c r="C303" s="49"/>
      <c r="D303" s="49"/>
      <c r="E303" s="49"/>
    </row>
    <row r="304" spans="1:5" ht="10.5" customHeight="1" x14ac:dyDescent="0.3">
      <c r="A304" s="48">
        <f t="shared" si="6"/>
        <v>303</v>
      </c>
      <c r="B304" s="49"/>
      <c r="C304" s="49"/>
      <c r="D304" s="49"/>
      <c r="E304" s="49"/>
    </row>
    <row r="305" spans="1:5" ht="10.5" customHeight="1" x14ac:dyDescent="0.3">
      <c r="A305" s="48">
        <f t="shared" si="6"/>
        <v>304</v>
      </c>
      <c r="B305" s="49"/>
      <c r="C305" s="49"/>
      <c r="D305" s="49"/>
      <c r="E305" s="49"/>
    </row>
    <row r="306" spans="1:5" ht="10.5" customHeight="1" x14ac:dyDescent="0.3">
      <c r="A306" s="48">
        <f t="shared" si="6"/>
        <v>305</v>
      </c>
      <c r="B306" s="49"/>
      <c r="C306" s="49"/>
      <c r="D306" s="49"/>
      <c r="E306" s="49"/>
    </row>
    <row r="307" spans="1:5" ht="10.5" customHeight="1" x14ac:dyDescent="0.3">
      <c r="A307" s="48">
        <f t="shared" si="6"/>
        <v>306</v>
      </c>
      <c r="B307" s="49"/>
      <c r="C307" s="49"/>
      <c r="D307" s="49"/>
      <c r="E307" s="49"/>
    </row>
    <row r="308" spans="1:5" ht="10.5" customHeight="1" x14ac:dyDescent="0.3">
      <c r="A308" s="48">
        <f t="shared" si="6"/>
        <v>307</v>
      </c>
      <c r="B308" s="49"/>
      <c r="C308" s="49"/>
      <c r="D308" s="49"/>
      <c r="E308" s="49"/>
    </row>
    <row r="309" spans="1:5" ht="10.5" customHeight="1" x14ac:dyDescent="0.3">
      <c r="A309" s="48">
        <f t="shared" si="6"/>
        <v>308</v>
      </c>
      <c r="B309" s="49"/>
      <c r="C309" s="49"/>
      <c r="D309" s="49"/>
      <c r="E309" s="49"/>
    </row>
    <row r="310" spans="1:5" ht="10.5" customHeight="1" x14ac:dyDescent="0.3">
      <c r="A310" s="48">
        <f t="shared" si="6"/>
        <v>309</v>
      </c>
      <c r="B310" s="49"/>
      <c r="C310" s="49"/>
      <c r="D310" s="49"/>
      <c r="E310" s="49"/>
    </row>
    <row r="311" spans="1:5" ht="10.5" customHeight="1" x14ac:dyDescent="0.3">
      <c r="A311" s="48">
        <f t="shared" si="6"/>
        <v>310</v>
      </c>
      <c r="B311" s="49"/>
      <c r="C311" s="49"/>
      <c r="D311" s="49"/>
      <c r="E311" s="49"/>
    </row>
    <row r="312" spans="1:5" ht="10.5" customHeight="1" x14ac:dyDescent="0.3">
      <c r="A312" s="48">
        <f t="shared" si="6"/>
        <v>311</v>
      </c>
      <c r="B312" s="49"/>
      <c r="C312" s="49"/>
      <c r="D312" s="49"/>
      <c r="E312" s="49"/>
    </row>
    <row r="313" spans="1:5" ht="10.5" customHeight="1" x14ac:dyDescent="0.3">
      <c r="A313" s="48">
        <f t="shared" si="6"/>
        <v>312</v>
      </c>
      <c r="B313" s="49"/>
      <c r="C313" s="49"/>
      <c r="D313" s="49"/>
      <c r="E313" s="49"/>
    </row>
    <row r="314" spans="1:5" ht="10.5" customHeight="1" x14ac:dyDescent="0.3">
      <c r="A314" s="48">
        <f t="shared" si="6"/>
        <v>313</v>
      </c>
      <c r="B314" s="49"/>
      <c r="C314" s="49"/>
      <c r="D314" s="49"/>
      <c r="E314" s="49"/>
    </row>
    <row r="315" spans="1:5" ht="10.5" customHeight="1" x14ac:dyDescent="0.3">
      <c r="A315" s="48">
        <f t="shared" si="6"/>
        <v>314</v>
      </c>
      <c r="B315" s="49"/>
      <c r="C315" s="49"/>
      <c r="D315" s="49"/>
      <c r="E315" s="49"/>
    </row>
    <row r="316" spans="1:5" ht="10.5" customHeight="1" x14ac:dyDescent="0.3">
      <c r="A316" s="48">
        <f t="shared" si="6"/>
        <v>315</v>
      </c>
      <c r="B316" s="49"/>
      <c r="C316" s="49"/>
      <c r="D316" s="49"/>
      <c r="E316" s="49"/>
    </row>
    <row r="317" spans="1:5" ht="10.5" customHeight="1" x14ac:dyDescent="0.3">
      <c r="A317" s="48">
        <f t="shared" si="6"/>
        <v>316</v>
      </c>
      <c r="B317" s="49"/>
      <c r="C317" s="49"/>
      <c r="D317" s="49"/>
      <c r="E317" s="49"/>
    </row>
    <row r="318" spans="1:5" ht="10.5" customHeight="1" x14ac:dyDescent="0.3">
      <c r="A318" s="48">
        <f t="shared" si="6"/>
        <v>317</v>
      </c>
      <c r="B318" s="49"/>
      <c r="C318" s="49"/>
      <c r="D318" s="49"/>
      <c r="E318" s="49"/>
    </row>
    <row r="319" spans="1:5" ht="10.5" customHeight="1" x14ac:dyDescent="0.3">
      <c r="A319" s="48">
        <f t="shared" si="6"/>
        <v>318</v>
      </c>
      <c r="B319" s="49"/>
      <c r="C319" s="49"/>
      <c r="D319" s="49"/>
      <c r="E319" s="49"/>
    </row>
    <row r="320" spans="1:5" ht="10.5" customHeight="1" x14ac:dyDescent="0.3">
      <c r="A320" s="48">
        <f t="shared" si="6"/>
        <v>319</v>
      </c>
      <c r="B320" s="49"/>
      <c r="C320" s="49"/>
      <c r="D320" s="49"/>
      <c r="E320" s="49"/>
    </row>
    <row r="321" spans="1:5" ht="10.5" customHeight="1" x14ac:dyDescent="0.3">
      <c r="A321" s="48">
        <f t="shared" si="6"/>
        <v>320</v>
      </c>
      <c r="B321" s="49"/>
      <c r="C321" s="49"/>
      <c r="D321" s="49"/>
      <c r="E321" s="49"/>
    </row>
    <row r="322" spans="1:5" ht="10.5" customHeight="1" x14ac:dyDescent="0.3">
      <c r="A322" s="48">
        <f t="shared" si="6"/>
        <v>321</v>
      </c>
      <c r="B322" s="49"/>
      <c r="C322" s="49"/>
      <c r="D322" s="49"/>
      <c r="E322" s="49"/>
    </row>
    <row r="323" spans="1:5" ht="10.5" customHeight="1" x14ac:dyDescent="0.3">
      <c r="A323" s="48">
        <f t="shared" ref="A323:A386" si="7">A322+1</f>
        <v>322</v>
      </c>
      <c r="B323" s="49"/>
      <c r="C323" s="49"/>
      <c r="D323" s="49"/>
      <c r="E323" s="49"/>
    </row>
    <row r="324" spans="1:5" ht="10.5" customHeight="1" x14ac:dyDescent="0.3">
      <c r="A324" s="48">
        <f t="shared" si="7"/>
        <v>323</v>
      </c>
      <c r="B324" s="49"/>
      <c r="C324" s="49"/>
      <c r="D324" s="49"/>
      <c r="E324" s="49"/>
    </row>
    <row r="325" spans="1:5" ht="10.5" customHeight="1" x14ac:dyDescent="0.3">
      <c r="A325" s="48">
        <f t="shared" si="7"/>
        <v>324</v>
      </c>
      <c r="B325" s="49"/>
      <c r="C325" s="49"/>
      <c r="D325" s="49"/>
      <c r="E325" s="49"/>
    </row>
    <row r="326" spans="1:5" ht="10.5" customHeight="1" x14ac:dyDescent="0.3">
      <c r="A326" s="48">
        <f t="shared" si="7"/>
        <v>325</v>
      </c>
      <c r="B326" s="49"/>
      <c r="C326" s="49"/>
      <c r="D326" s="49"/>
      <c r="E326" s="49"/>
    </row>
    <row r="327" spans="1:5" ht="10.5" customHeight="1" x14ac:dyDescent="0.3">
      <c r="A327" s="48">
        <f t="shared" si="7"/>
        <v>326</v>
      </c>
      <c r="B327" s="49"/>
      <c r="C327" s="49"/>
      <c r="D327" s="49"/>
      <c r="E327" s="49"/>
    </row>
    <row r="328" spans="1:5" ht="10.5" customHeight="1" x14ac:dyDescent="0.3">
      <c r="A328" s="48">
        <f t="shared" si="7"/>
        <v>327</v>
      </c>
      <c r="B328" s="49"/>
      <c r="C328" s="49"/>
      <c r="D328" s="49"/>
      <c r="E328" s="49"/>
    </row>
    <row r="329" spans="1:5" ht="10.5" customHeight="1" x14ac:dyDescent="0.3">
      <c r="A329" s="48">
        <f t="shared" si="7"/>
        <v>328</v>
      </c>
      <c r="B329" s="49"/>
      <c r="C329" s="49"/>
      <c r="D329" s="49"/>
      <c r="E329" s="49"/>
    </row>
    <row r="330" spans="1:5" ht="10.5" customHeight="1" x14ac:dyDescent="0.3">
      <c r="A330" s="48">
        <f t="shared" si="7"/>
        <v>329</v>
      </c>
      <c r="B330" s="49"/>
      <c r="C330" s="49"/>
      <c r="D330" s="49"/>
      <c r="E330" s="49"/>
    </row>
    <row r="331" spans="1:5" ht="10.5" customHeight="1" x14ac:dyDescent="0.3">
      <c r="A331" s="48">
        <f t="shared" si="7"/>
        <v>330</v>
      </c>
      <c r="B331" s="49"/>
      <c r="C331" s="49"/>
      <c r="D331" s="49"/>
      <c r="E331" s="49"/>
    </row>
    <row r="332" spans="1:5" ht="10.5" customHeight="1" x14ac:dyDescent="0.3">
      <c r="A332" s="48">
        <f t="shared" si="7"/>
        <v>331</v>
      </c>
      <c r="B332" s="49"/>
      <c r="C332" s="49"/>
      <c r="D332" s="49"/>
      <c r="E332" s="49"/>
    </row>
    <row r="333" spans="1:5" ht="10.5" customHeight="1" x14ac:dyDescent="0.3">
      <c r="A333" s="48">
        <f t="shared" si="7"/>
        <v>332</v>
      </c>
      <c r="B333" s="49"/>
      <c r="C333" s="49"/>
      <c r="D333" s="49"/>
      <c r="E333" s="49"/>
    </row>
    <row r="334" spans="1:5" ht="10.5" customHeight="1" x14ac:dyDescent="0.3">
      <c r="A334" s="48">
        <f t="shared" si="7"/>
        <v>333</v>
      </c>
      <c r="B334" s="49"/>
      <c r="C334" s="49"/>
      <c r="D334" s="49"/>
      <c r="E334" s="49"/>
    </row>
    <row r="335" spans="1:5" ht="10.5" customHeight="1" x14ac:dyDescent="0.3">
      <c r="A335" s="48">
        <f t="shared" si="7"/>
        <v>334</v>
      </c>
      <c r="B335" s="49"/>
      <c r="C335" s="49"/>
      <c r="D335" s="49"/>
      <c r="E335" s="49"/>
    </row>
    <row r="336" spans="1:5" ht="10.5" customHeight="1" x14ac:dyDescent="0.3">
      <c r="A336" s="48">
        <f t="shared" si="7"/>
        <v>335</v>
      </c>
      <c r="B336" s="49"/>
      <c r="C336" s="49"/>
      <c r="D336" s="49"/>
      <c r="E336" s="49"/>
    </row>
    <row r="337" spans="1:5" ht="10.5" customHeight="1" x14ac:dyDescent="0.3">
      <c r="A337" s="48">
        <f t="shared" si="7"/>
        <v>336</v>
      </c>
      <c r="B337" s="49"/>
      <c r="C337" s="49"/>
      <c r="D337" s="49"/>
      <c r="E337" s="49"/>
    </row>
    <row r="338" spans="1:5" ht="10.5" customHeight="1" x14ac:dyDescent="0.3">
      <c r="A338" s="48">
        <f t="shared" si="7"/>
        <v>337</v>
      </c>
      <c r="B338" s="49"/>
      <c r="C338" s="49"/>
      <c r="D338" s="49"/>
      <c r="E338" s="49"/>
    </row>
    <row r="339" spans="1:5" ht="10.5" customHeight="1" x14ac:dyDescent="0.3">
      <c r="A339" s="48">
        <f t="shared" si="7"/>
        <v>338</v>
      </c>
      <c r="B339" s="49"/>
      <c r="C339" s="49"/>
      <c r="D339" s="49"/>
      <c r="E339" s="49"/>
    </row>
    <row r="340" spans="1:5" ht="10.5" customHeight="1" x14ac:dyDescent="0.3">
      <c r="A340" s="48">
        <f t="shared" si="7"/>
        <v>339</v>
      </c>
      <c r="B340" s="49"/>
      <c r="C340" s="49"/>
      <c r="D340" s="49"/>
      <c r="E340" s="49"/>
    </row>
    <row r="341" spans="1:5" ht="10.5" customHeight="1" x14ac:dyDescent="0.3">
      <c r="A341" s="48">
        <f t="shared" si="7"/>
        <v>340</v>
      </c>
      <c r="B341" s="49"/>
      <c r="C341" s="49"/>
      <c r="D341" s="49"/>
      <c r="E341" s="49"/>
    </row>
    <row r="342" spans="1:5" ht="10.5" customHeight="1" x14ac:dyDescent="0.3">
      <c r="A342" s="48">
        <f t="shared" si="7"/>
        <v>341</v>
      </c>
      <c r="B342" s="49"/>
      <c r="C342" s="49"/>
      <c r="D342" s="49"/>
      <c r="E342" s="49"/>
    </row>
    <row r="343" spans="1:5" ht="10.5" customHeight="1" x14ac:dyDescent="0.3">
      <c r="A343" s="48">
        <f t="shared" si="7"/>
        <v>342</v>
      </c>
      <c r="B343" s="49"/>
      <c r="C343" s="49"/>
      <c r="D343" s="49"/>
      <c r="E343" s="49"/>
    </row>
    <row r="344" spans="1:5" ht="10.5" customHeight="1" x14ac:dyDescent="0.3">
      <c r="A344" s="48">
        <f t="shared" si="7"/>
        <v>343</v>
      </c>
      <c r="B344" s="49"/>
      <c r="C344" s="49"/>
      <c r="D344" s="49"/>
      <c r="E344" s="49"/>
    </row>
    <row r="345" spans="1:5" ht="10.5" customHeight="1" x14ac:dyDescent="0.3">
      <c r="A345" s="48">
        <f t="shared" si="7"/>
        <v>344</v>
      </c>
      <c r="B345" s="49"/>
      <c r="C345" s="49"/>
      <c r="D345" s="49"/>
      <c r="E345" s="49"/>
    </row>
    <row r="346" spans="1:5" ht="10.5" customHeight="1" x14ac:dyDescent="0.3">
      <c r="A346" s="48">
        <f t="shared" si="7"/>
        <v>345</v>
      </c>
      <c r="B346" s="49"/>
      <c r="C346" s="49"/>
      <c r="D346" s="49"/>
      <c r="E346" s="49"/>
    </row>
    <row r="347" spans="1:5" ht="10.5" customHeight="1" x14ac:dyDescent="0.3">
      <c r="A347" s="48">
        <f t="shared" si="7"/>
        <v>346</v>
      </c>
      <c r="B347" s="49"/>
      <c r="C347" s="49"/>
      <c r="D347" s="49"/>
      <c r="E347" s="49"/>
    </row>
    <row r="348" spans="1:5" ht="10.5" customHeight="1" x14ac:dyDescent="0.3">
      <c r="A348" s="48">
        <f t="shared" si="7"/>
        <v>347</v>
      </c>
      <c r="B348" s="49"/>
      <c r="C348" s="49"/>
      <c r="D348" s="49"/>
      <c r="E348" s="49"/>
    </row>
    <row r="349" spans="1:5" ht="10.5" customHeight="1" x14ac:dyDescent="0.3">
      <c r="A349" s="48">
        <f t="shared" si="7"/>
        <v>348</v>
      </c>
      <c r="B349" s="49"/>
      <c r="C349" s="49"/>
      <c r="D349" s="49"/>
      <c r="E349" s="49"/>
    </row>
    <row r="350" spans="1:5" ht="10.5" customHeight="1" x14ac:dyDescent="0.3">
      <c r="A350" s="48">
        <f t="shared" si="7"/>
        <v>349</v>
      </c>
      <c r="B350" s="49"/>
      <c r="C350" s="49"/>
      <c r="D350" s="49"/>
      <c r="E350" s="49"/>
    </row>
    <row r="351" spans="1:5" ht="10.5" customHeight="1" x14ac:dyDescent="0.3">
      <c r="A351" s="48">
        <f t="shared" si="7"/>
        <v>350</v>
      </c>
      <c r="B351" s="49"/>
      <c r="C351" s="49"/>
      <c r="D351" s="49"/>
      <c r="E351" s="49"/>
    </row>
    <row r="352" spans="1:5" ht="10.5" customHeight="1" x14ac:dyDescent="0.3">
      <c r="A352" s="48">
        <f t="shared" si="7"/>
        <v>351</v>
      </c>
      <c r="B352" s="49"/>
      <c r="C352" s="49"/>
      <c r="D352" s="49"/>
      <c r="E352" s="49"/>
    </row>
    <row r="353" spans="1:5" ht="10.5" customHeight="1" x14ac:dyDescent="0.3">
      <c r="A353" s="48">
        <f t="shared" si="7"/>
        <v>352</v>
      </c>
      <c r="B353" s="49"/>
      <c r="C353" s="49"/>
      <c r="D353" s="49"/>
      <c r="E353" s="49"/>
    </row>
    <row r="354" spans="1:5" ht="10.5" customHeight="1" x14ac:dyDescent="0.3">
      <c r="A354" s="48">
        <f t="shared" si="7"/>
        <v>353</v>
      </c>
      <c r="B354" s="49"/>
      <c r="C354" s="49"/>
      <c r="D354" s="49"/>
      <c r="E354" s="49"/>
    </row>
    <row r="355" spans="1:5" ht="10.5" customHeight="1" x14ac:dyDescent="0.3">
      <c r="A355" s="48">
        <f t="shared" si="7"/>
        <v>354</v>
      </c>
      <c r="B355" s="49"/>
      <c r="C355" s="49"/>
      <c r="D355" s="49"/>
      <c r="E355" s="49"/>
    </row>
    <row r="356" spans="1:5" ht="10.5" customHeight="1" x14ac:dyDescent="0.3">
      <c r="A356" s="48">
        <f t="shared" si="7"/>
        <v>355</v>
      </c>
      <c r="B356" s="49"/>
      <c r="C356" s="49"/>
      <c r="D356" s="49"/>
      <c r="E356" s="49"/>
    </row>
    <row r="357" spans="1:5" ht="10.5" customHeight="1" x14ac:dyDescent="0.3">
      <c r="A357" s="48">
        <f t="shared" si="7"/>
        <v>356</v>
      </c>
      <c r="B357" s="49"/>
      <c r="C357" s="49"/>
      <c r="D357" s="49"/>
      <c r="E357" s="49"/>
    </row>
    <row r="358" spans="1:5" ht="10.5" customHeight="1" x14ac:dyDescent="0.3">
      <c r="A358" s="48">
        <f t="shared" si="7"/>
        <v>357</v>
      </c>
      <c r="B358" s="49"/>
      <c r="C358" s="49"/>
      <c r="D358" s="49"/>
      <c r="E358" s="49"/>
    </row>
    <row r="359" spans="1:5" ht="10.5" customHeight="1" x14ac:dyDescent="0.3">
      <c r="A359" s="48">
        <f t="shared" si="7"/>
        <v>358</v>
      </c>
      <c r="B359" s="49"/>
      <c r="C359" s="49"/>
      <c r="D359" s="49"/>
      <c r="E359" s="49"/>
    </row>
    <row r="360" spans="1:5" ht="10.5" customHeight="1" x14ac:dyDescent="0.3">
      <c r="A360" s="48">
        <f t="shared" si="7"/>
        <v>359</v>
      </c>
      <c r="B360" s="49"/>
      <c r="C360" s="49"/>
      <c r="D360" s="49"/>
      <c r="E360" s="49"/>
    </row>
    <row r="361" spans="1:5" ht="10.5" customHeight="1" x14ac:dyDescent="0.3">
      <c r="A361" s="48">
        <f t="shared" si="7"/>
        <v>360</v>
      </c>
      <c r="B361" s="49"/>
      <c r="C361" s="49"/>
      <c r="D361" s="49"/>
      <c r="E361" s="49"/>
    </row>
    <row r="362" spans="1:5" ht="10.5" customHeight="1" x14ac:dyDescent="0.3">
      <c r="A362" s="48">
        <f t="shared" si="7"/>
        <v>361</v>
      </c>
      <c r="B362" s="49"/>
      <c r="C362" s="49"/>
      <c r="D362" s="49"/>
      <c r="E362" s="49"/>
    </row>
    <row r="363" spans="1:5" ht="10.5" customHeight="1" x14ac:dyDescent="0.3">
      <c r="A363" s="48">
        <f t="shared" si="7"/>
        <v>362</v>
      </c>
      <c r="B363" s="49"/>
      <c r="C363" s="49"/>
      <c r="D363" s="49"/>
      <c r="E363" s="49"/>
    </row>
    <row r="364" spans="1:5" ht="10.5" customHeight="1" x14ac:dyDescent="0.3">
      <c r="A364" s="48">
        <f t="shared" si="7"/>
        <v>363</v>
      </c>
      <c r="B364" s="49"/>
      <c r="C364" s="49"/>
      <c r="D364" s="49"/>
      <c r="E364" s="49"/>
    </row>
    <row r="365" spans="1:5" ht="10.5" customHeight="1" x14ac:dyDescent="0.3">
      <c r="A365" s="48">
        <f t="shared" si="7"/>
        <v>364</v>
      </c>
      <c r="B365" s="49"/>
      <c r="C365" s="49"/>
      <c r="D365" s="49"/>
      <c r="E365" s="49"/>
    </row>
    <row r="366" spans="1:5" ht="10.5" customHeight="1" x14ac:dyDescent="0.3">
      <c r="A366" s="48">
        <f t="shared" si="7"/>
        <v>365</v>
      </c>
      <c r="B366" s="49"/>
      <c r="C366" s="49"/>
      <c r="D366" s="49"/>
      <c r="E366" s="49"/>
    </row>
    <row r="367" spans="1:5" ht="10.5" customHeight="1" x14ac:dyDescent="0.3">
      <c r="A367" s="48">
        <f t="shared" si="7"/>
        <v>366</v>
      </c>
      <c r="B367" s="49"/>
      <c r="C367" s="49"/>
      <c r="D367" s="49"/>
      <c r="E367" s="49"/>
    </row>
    <row r="368" spans="1:5" ht="10.5" customHeight="1" x14ac:dyDescent="0.3">
      <c r="A368" s="48">
        <f t="shared" si="7"/>
        <v>367</v>
      </c>
      <c r="B368" s="49"/>
      <c r="C368" s="49"/>
      <c r="D368" s="49"/>
      <c r="E368" s="49"/>
    </row>
    <row r="369" spans="1:5" ht="10.5" customHeight="1" x14ac:dyDescent="0.3">
      <c r="A369" s="48">
        <f t="shared" si="7"/>
        <v>368</v>
      </c>
      <c r="B369" s="49"/>
      <c r="C369" s="49"/>
      <c r="D369" s="49"/>
      <c r="E369" s="49"/>
    </row>
    <row r="370" spans="1:5" ht="10.5" customHeight="1" x14ac:dyDescent="0.3">
      <c r="A370" s="48">
        <f t="shared" si="7"/>
        <v>369</v>
      </c>
      <c r="B370" s="49"/>
      <c r="C370" s="49"/>
      <c r="D370" s="49"/>
      <c r="E370" s="49"/>
    </row>
    <row r="371" spans="1:5" ht="10.5" customHeight="1" x14ac:dyDescent="0.3">
      <c r="A371" s="48">
        <f t="shared" si="7"/>
        <v>370</v>
      </c>
      <c r="B371" s="49"/>
      <c r="C371" s="49"/>
      <c r="D371" s="49"/>
      <c r="E371" s="49"/>
    </row>
    <row r="372" spans="1:5" ht="10.5" customHeight="1" x14ac:dyDescent="0.3">
      <c r="A372" s="48">
        <f t="shared" si="7"/>
        <v>371</v>
      </c>
      <c r="B372" s="49"/>
      <c r="C372" s="49"/>
      <c r="D372" s="49"/>
      <c r="E372" s="49"/>
    </row>
    <row r="373" spans="1:5" ht="10.5" customHeight="1" x14ac:dyDescent="0.3">
      <c r="A373" s="48">
        <f t="shared" si="7"/>
        <v>372</v>
      </c>
      <c r="B373" s="49"/>
      <c r="C373" s="49"/>
      <c r="D373" s="49"/>
      <c r="E373" s="49"/>
    </row>
    <row r="374" spans="1:5" ht="10.5" customHeight="1" x14ac:dyDescent="0.3">
      <c r="A374" s="48">
        <f t="shared" si="7"/>
        <v>373</v>
      </c>
      <c r="B374" s="49"/>
      <c r="C374" s="49"/>
      <c r="D374" s="49"/>
      <c r="E374" s="49"/>
    </row>
    <row r="375" spans="1:5" ht="10.5" customHeight="1" x14ac:dyDescent="0.3">
      <c r="A375" s="48">
        <f t="shared" si="7"/>
        <v>374</v>
      </c>
      <c r="B375" s="49"/>
      <c r="C375" s="49"/>
      <c r="D375" s="49"/>
      <c r="E375" s="49"/>
    </row>
    <row r="376" spans="1:5" ht="10.5" customHeight="1" x14ac:dyDescent="0.3">
      <c r="A376" s="48">
        <f t="shared" si="7"/>
        <v>375</v>
      </c>
      <c r="B376" s="49"/>
      <c r="C376" s="49"/>
      <c r="D376" s="49"/>
      <c r="E376" s="49"/>
    </row>
    <row r="377" spans="1:5" ht="10.5" customHeight="1" x14ac:dyDescent="0.3">
      <c r="A377" s="48">
        <f t="shared" si="7"/>
        <v>376</v>
      </c>
      <c r="B377" s="49"/>
      <c r="C377" s="49"/>
      <c r="D377" s="49"/>
      <c r="E377" s="49"/>
    </row>
    <row r="378" spans="1:5" ht="10.5" customHeight="1" x14ac:dyDescent="0.3">
      <c r="A378" s="48">
        <f t="shared" si="7"/>
        <v>377</v>
      </c>
      <c r="B378" s="49"/>
      <c r="C378" s="49"/>
      <c r="D378" s="49"/>
      <c r="E378" s="49"/>
    </row>
    <row r="379" spans="1:5" ht="10.5" customHeight="1" x14ac:dyDescent="0.3">
      <c r="A379" s="48">
        <f t="shared" si="7"/>
        <v>378</v>
      </c>
      <c r="B379" s="49"/>
      <c r="C379" s="49"/>
      <c r="D379" s="49"/>
      <c r="E379" s="49"/>
    </row>
    <row r="380" spans="1:5" ht="10.5" customHeight="1" x14ac:dyDescent="0.3">
      <c r="A380" s="48">
        <f t="shared" si="7"/>
        <v>379</v>
      </c>
      <c r="B380" s="49"/>
      <c r="C380" s="49"/>
      <c r="D380" s="49"/>
      <c r="E380" s="49"/>
    </row>
    <row r="381" spans="1:5" ht="10.5" customHeight="1" x14ac:dyDescent="0.3">
      <c r="A381" s="48">
        <f t="shared" si="7"/>
        <v>380</v>
      </c>
      <c r="B381" s="49"/>
      <c r="C381" s="49"/>
      <c r="D381" s="49"/>
      <c r="E381" s="49"/>
    </row>
    <row r="382" spans="1:5" ht="10.5" customHeight="1" x14ac:dyDescent="0.3">
      <c r="A382" s="48">
        <f t="shared" si="7"/>
        <v>381</v>
      </c>
      <c r="B382" s="49"/>
      <c r="C382" s="49"/>
      <c r="D382" s="49"/>
      <c r="E382" s="49"/>
    </row>
    <row r="383" spans="1:5" ht="10.5" customHeight="1" x14ac:dyDescent="0.3">
      <c r="A383" s="48">
        <f t="shared" si="7"/>
        <v>382</v>
      </c>
      <c r="B383" s="49"/>
      <c r="C383" s="49"/>
      <c r="D383" s="49"/>
      <c r="E383" s="49"/>
    </row>
    <row r="384" spans="1:5" ht="10.5" customHeight="1" x14ac:dyDescent="0.3">
      <c r="A384" s="48">
        <f t="shared" si="7"/>
        <v>383</v>
      </c>
      <c r="B384" s="49"/>
      <c r="C384" s="49"/>
      <c r="D384" s="49"/>
      <c r="E384" s="49"/>
    </row>
    <row r="385" spans="1:5" ht="10.5" customHeight="1" x14ac:dyDescent="0.3">
      <c r="A385" s="48">
        <f t="shared" si="7"/>
        <v>384</v>
      </c>
      <c r="B385" s="49"/>
      <c r="C385" s="49"/>
      <c r="D385" s="49"/>
      <c r="E385" s="49"/>
    </row>
    <row r="386" spans="1:5" ht="10.5" customHeight="1" x14ac:dyDescent="0.3">
      <c r="A386" s="48">
        <f t="shared" si="7"/>
        <v>385</v>
      </c>
      <c r="B386" s="49"/>
      <c r="C386" s="49"/>
      <c r="D386" s="49"/>
      <c r="E386" s="49"/>
    </row>
    <row r="387" spans="1:5" ht="10.5" customHeight="1" x14ac:dyDescent="0.3">
      <c r="A387" s="48">
        <f t="shared" ref="A387:A450" si="8">A386+1</f>
        <v>386</v>
      </c>
      <c r="B387" s="49"/>
      <c r="C387" s="49"/>
      <c r="D387" s="49"/>
      <c r="E387" s="49"/>
    </row>
    <row r="388" spans="1:5" ht="10.5" customHeight="1" x14ac:dyDescent="0.3">
      <c r="A388" s="48">
        <f t="shared" si="8"/>
        <v>387</v>
      </c>
      <c r="B388" s="49"/>
      <c r="C388" s="49"/>
      <c r="D388" s="49"/>
      <c r="E388" s="49"/>
    </row>
    <row r="389" spans="1:5" ht="10.5" customHeight="1" x14ac:dyDescent="0.3">
      <c r="A389" s="48">
        <f t="shared" si="8"/>
        <v>388</v>
      </c>
      <c r="B389" s="49"/>
      <c r="C389" s="49"/>
      <c r="D389" s="49"/>
      <c r="E389" s="49"/>
    </row>
    <row r="390" spans="1:5" ht="10.5" customHeight="1" x14ac:dyDescent="0.3">
      <c r="A390" s="48">
        <f t="shared" si="8"/>
        <v>389</v>
      </c>
      <c r="B390" s="49"/>
      <c r="C390" s="49"/>
      <c r="D390" s="49"/>
      <c r="E390" s="49"/>
    </row>
    <row r="391" spans="1:5" ht="10.5" customHeight="1" x14ac:dyDescent="0.3">
      <c r="A391" s="48">
        <f t="shared" si="8"/>
        <v>390</v>
      </c>
      <c r="B391" s="49"/>
      <c r="C391" s="49"/>
      <c r="D391" s="49"/>
      <c r="E391" s="49"/>
    </row>
    <row r="392" spans="1:5" ht="10.5" customHeight="1" x14ac:dyDescent="0.3">
      <c r="A392" s="48">
        <f t="shared" si="8"/>
        <v>391</v>
      </c>
      <c r="B392" s="49"/>
      <c r="C392" s="49"/>
      <c r="D392" s="49"/>
      <c r="E392" s="49"/>
    </row>
    <row r="393" spans="1:5" ht="10.5" customHeight="1" x14ac:dyDescent="0.3">
      <c r="A393" s="48">
        <f t="shared" si="8"/>
        <v>392</v>
      </c>
      <c r="B393" s="49"/>
      <c r="C393" s="49"/>
      <c r="D393" s="49"/>
      <c r="E393" s="49"/>
    </row>
    <row r="394" spans="1:5" ht="10.5" customHeight="1" x14ac:dyDescent="0.3">
      <c r="A394" s="48">
        <f t="shared" si="8"/>
        <v>393</v>
      </c>
      <c r="B394" s="49"/>
      <c r="C394" s="49"/>
      <c r="D394" s="49"/>
      <c r="E394" s="51"/>
    </row>
    <row r="395" spans="1:5" ht="10.5" customHeight="1" x14ac:dyDescent="0.3">
      <c r="A395" s="48">
        <f t="shared" si="8"/>
        <v>394</v>
      </c>
      <c r="B395" s="49"/>
      <c r="C395" s="49"/>
      <c r="D395" s="49"/>
      <c r="E395" s="49"/>
    </row>
    <row r="396" spans="1:5" ht="10.5" customHeight="1" x14ac:dyDescent="0.3">
      <c r="A396" s="48">
        <f t="shared" si="8"/>
        <v>395</v>
      </c>
      <c r="B396" s="49"/>
      <c r="C396" s="49"/>
      <c r="D396" s="49"/>
      <c r="E396" s="49"/>
    </row>
    <row r="397" spans="1:5" ht="10.5" customHeight="1" x14ac:dyDescent="0.3">
      <c r="A397" s="48">
        <f t="shared" si="8"/>
        <v>396</v>
      </c>
      <c r="B397" s="49"/>
      <c r="C397" s="49"/>
      <c r="D397" s="49"/>
      <c r="E397" s="49"/>
    </row>
    <row r="398" spans="1:5" ht="10.5" customHeight="1" x14ac:dyDescent="0.3">
      <c r="A398" s="48">
        <f t="shared" si="8"/>
        <v>397</v>
      </c>
      <c r="B398" s="49"/>
      <c r="C398" s="49"/>
      <c r="D398" s="49"/>
      <c r="E398" s="49"/>
    </row>
    <row r="399" spans="1:5" ht="10.5" customHeight="1" x14ac:dyDescent="0.3">
      <c r="A399" s="48">
        <f t="shared" si="8"/>
        <v>398</v>
      </c>
      <c r="B399" s="49"/>
      <c r="C399" s="49"/>
      <c r="D399" s="49"/>
      <c r="E399" s="49"/>
    </row>
    <row r="400" spans="1:5" ht="10.5" customHeight="1" x14ac:dyDescent="0.3">
      <c r="A400" s="48">
        <f t="shared" si="8"/>
        <v>399</v>
      </c>
      <c r="B400" s="49"/>
      <c r="C400" s="49"/>
      <c r="D400" s="49"/>
      <c r="E400" s="49"/>
    </row>
    <row r="401" spans="1:5" ht="10.5" customHeight="1" x14ac:dyDescent="0.3">
      <c r="A401" s="48">
        <f t="shared" si="8"/>
        <v>400</v>
      </c>
      <c r="B401" s="49"/>
      <c r="C401" s="49"/>
      <c r="D401" s="49"/>
      <c r="E401" s="49"/>
    </row>
    <row r="402" spans="1:5" ht="10.5" customHeight="1" x14ac:dyDescent="0.3">
      <c r="A402" s="48">
        <f t="shared" si="8"/>
        <v>401</v>
      </c>
      <c r="B402" s="49"/>
      <c r="C402" s="49"/>
      <c r="D402" s="49"/>
      <c r="E402" s="49"/>
    </row>
    <row r="403" spans="1:5" ht="10.5" customHeight="1" x14ac:dyDescent="0.3">
      <c r="A403" s="48">
        <f t="shared" si="8"/>
        <v>402</v>
      </c>
      <c r="B403" s="49"/>
      <c r="C403" s="49"/>
      <c r="D403" s="49"/>
      <c r="E403" s="49"/>
    </row>
    <row r="404" spans="1:5" ht="10.5" customHeight="1" x14ac:dyDescent="0.3">
      <c r="A404" s="48">
        <f t="shared" si="8"/>
        <v>403</v>
      </c>
      <c r="B404" s="49"/>
      <c r="C404" s="49"/>
      <c r="D404" s="49"/>
      <c r="E404" s="49"/>
    </row>
    <row r="405" spans="1:5" ht="10.5" customHeight="1" x14ac:dyDescent="0.3">
      <c r="A405" s="48">
        <f t="shared" si="8"/>
        <v>404</v>
      </c>
      <c r="B405" s="49"/>
      <c r="C405" s="49"/>
      <c r="D405" s="49"/>
      <c r="E405" s="49"/>
    </row>
    <row r="406" spans="1:5" ht="10.5" customHeight="1" x14ac:dyDescent="0.3">
      <c r="A406" s="48">
        <f t="shared" si="8"/>
        <v>405</v>
      </c>
      <c r="B406" s="49"/>
      <c r="C406" s="49"/>
      <c r="D406" s="49"/>
      <c r="E406" s="49"/>
    </row>
    <row r="407" spans="1:5" ht="10.5" customHeight="1" x14ac:dyDescent="0.3">
      <c r="A407" s="48">
        <f t="shared" si="8"/>
        <v>406</v>
      </c>
      <c r="B407" s="49"/>
      <c r="C407" s="49"/>
      <c r="D407" s="49"/>
      <c r="E407" s="49"/>
    </row>
    <row r="408" spans="1:5" ht="10.5" customHeight="1" x14ac:dyDescent="0.3">
      <c r="A408" s="48">
        <f t="shared" si="8"/>
        <v>407</v>
      </c>
      <c r="B408" s="49"/>
      <c r="C408" s="49"/>
      <c r="D408" s="49"/>
      <c r="E408" s="49"/>
    </row>
    <row r="409" spans="1:5" ht="10.5" customHeight="1" x14ac:dyDescent="0.3">
      <c r="A409" s="48">
        <f t="shared" si="8"/>
        <v>408</v>
      </c>
      <c r="B409" s="49"/>
      <c r="C409" s="49"/>
      <c r="D409" s="49"/>
      <c r="E409" s="49"/>
    </row>
    <row r="410" spans="1:5" ht="10.5" customHeight="1" x14ac:dyDescent="0.3">
      <c r="A410" s="48">
        <f t="shared" si="8"/>
        <v>409</v>
      </c>
      <c r="B410" s="49"/>
      <c r="C410" s="49"/>
      <c r="D410" s="49"/>
      <c r="E410" s="49"/>
    </row>
    <row r="411" spans="1:5" ht="10.5" customHeight="1" x14ac:dyDescent="0.3">
      <c r="A411" s="48">
        <f t="shared" si="8"/>
        <v>410</v>
      </c>
      <c r="B411" s="49"/>
      <c r="C411" s="49"/>
      <c r="D411" s="49"/>
      <c r="E411" s="49"/>
    </row>
    <row r="412" spans="1:5" ht="10.5" customHeight="1" x14ac:dyDescent="0.3">
      <c r="A412" s="48">
        <f t="shared" si="8"/>
        <v>411</v>
      </c>
      <c r="B412" s="49"/>
      <c r="C412" s="49"/>
      <c r="D412" s="49"/>
      <c r="E412" s="49"/>
    </row>
    <row r="413" spans="1:5" ht="10.5" customHeight="1" x14ac:dyDescent="0.3">
      <c r="A413" s="48">
        <f t="shared" si="8"/>
        <v>412</v>
      </c>
      <c r="B413" s="49"/>
      <c r="C413" s="49"/>
      <c r="D413" s="49"/>
      <c r="E413" s="49"/>
    </row>
    <row r="414" spans="1:5" ht="10.5" customHeight="1" x14ac:dyDescent="0.3">
      <c r="A414" s="48">
        <f t="shared" si="8"/>
        <v>413</v>
      </c>
      <c r="B414" s="49"/>
      <c r="C414" s="49"/>
      <c r="D414" s="49"/>
      <c r="E414" s="49"/>
    </row>
    <row r="415" spans="1:5" ht="10.5" customHeight="1" x14ac:dyDescent="0.3">
      <c r="A415" s="48">
        <f t="shared" si="8"/>
        <v>414</v>
      </c>
      <c r="B415" s="49"/>
      <c r="C415" s="49"/>
      <c r="D415" s="49"/>
      <c r="E415" s="49"/>
    </row>
    <row r="416" spans="1:5" ht="10.5" customHeight="1" x14ac:dyDescent="0.3">
      <c r="A416" s="48">
        <f t="shared" si="8"/>
        <v>415</v>
      </c>
      <c r="B416" s="49"/>
      <c r="C416" s="49"/>
      <c r="D416" s="49"/>
      <c r="E416" s="49"/>
    </row>
    <row r="417" spans="1:5" ht="10.5" customHeight="1" x14ac:dyDescent="0.3">
      <c r="A417" s="48">
        <f t="shared" si="8"/>
        <v>416</v>
      </c>
      <c r="B417" s="49"/>
      <c r="C417" s="49"/>
      <c r="D417" s="49"/>
      <c r="E417" s="49"/>
    </row>
    <row r="418" spans="1:5" ht="10.5" customHeight="1" x14ac:dyDescent="0.3">
      <c r="A418" s="48">
        <f t="shared" si="8"/>
        <v>417</v>
      </c>
      <c r="B418" s="49"/>
      <c r="C418" s="49"/>
      <c r="D418" s="49"/>
      <c r="E418" s="49"/>
    </row>
    <row r="419" spans="1:5" ht="10.5" customHeight="1" x14ac:dyDescent="0.3">
      <c r="A419" s="48">
        <f t="shared" si="8"/>
        <v>418</v>
      </c>
      <c r="B419" s="49"/>
      <c r="C419" s="49"/>
      <c r="D419" s="49"/>
      <c r="E419" s="49"/>
    </row>
    <row r="420" spans="1:5" ht="10.5" customHeight="1" x14ac:dyDescent="0.3">
      <c r="A420" s="48">
        <f t="shared" si="8"/>
        <v>419</v>
      </c>
      <c r="B420" s="49"/>
      <c r="C420" s="49"/>
      <c r="D420" s="49"/>
      <c r="E420" s="49"/>
    </row>
    <row r="421" spans="1:5" ht="10.5" customHeight="1" x14ac:dyDescent="0.3">
      <c r="A421" s="48">
        <f t="shared" si="8"/>
        <v>420</v>
      </c>
      <c r="B421" s="49"/>
      <c r="C421" s="49"/>
      <c r="D421" s="49"/>
      <c r="E421" s="49"/>
    </row>
    <row r="422" spans="1:5" ht="10.5" customHeight="1" x14ac:dyDescent="0.3">
      <c r="A422" s="48">
        <f t="shared" si="8"/>
        <v>421</v>
      </c>
      <c r="B422" s="49"/>
      <c r="C422" s="49"/>
      <c r="D422" s="49"/>
      <c r="E422" s="49"/>
    </row>
    <row r="423" spans="1:5" ht="10.5" customHeight="1" x14ac:dyDescent="0.3">
      <c r="A423" s="48">
        <f t="shared" si="8"/>
        <v>422</v>
      </c>
      <c r="B423" s="49"/>
      <c r="C423" s="49"/>
      <c r="D423" s="49"/>
      <c r="E423" s="49"/>
    </row>
    <row r="424" spans="1:5" ht="10.5" customHeight="1" x14ac:dyDescent="0.3">
      <c r="A424" s="48">
        <f t="shared" si="8"/>
        <v>423</v>
      </c>
      <c r="B424" s="49"/>
      <c r="C424" s="49"/>
      <c r="D424" s="49"/>
      <c r="E424" s="49"/>
    </row>
    <row r="425" spans="1:5" ht="10.5" customHeight="1" x14ac:dyDescent="0.3">
      <c r="A425" s="48">
        <f t="shared" si="8"/>
        <v>424</v>
      </c>
      <c r="B425" s="49"/>
      <c r="C425" s="49"/>
      <c r="D425" s="49"/>
      <c r="E425" s="49"/>
    </row>
    <row r="426" spans="1:5" ht="10.5" customHeight="1" x14ac:dyDescent="0.3">
      <c r="A426" s="48">
        <f t="shared" si="8"/>
        <v>425</v>
      </c>
      <c r="B426" s="49"/>
      <c r="C426" s="49"/>
      <c r="D426" s="49"/>
      <c r="E426" s="49"/>
    </row>
    <row r="427" spans="1:5" ht="10.5" customHeight="1" x14ac:dyDescent="0.3">
      <c r="A427" s="48">
        <f t="shared" si="8"/>
        <v>426</v>
      </c>
      <c r="B427" s="49"/>
      <c r="C427" s="49"/>
      <c r="D427" s="49"/>
      <c r="E427" s="49"/>
    </row>
    <row r="428" spans="1:5" ht="10.5" customHeight="1" x14ac:dyDescent="0.3">
      <c r="A428" s="48">
        <f t="shared" si="8"/>
        <v>427</v>
      </c>
      <c r="B428" s="49"/>
      <c r="C428" s="49"/>
      <c r="D428" s="49"/>
      <c r="E428" s="49"/>
    </row>
    <row r="429" spans="1:5" ht="10.5" customHeight="1" x14ac:dyDescent="0.3">
      <c r="A429" s="48">
        <f t="shared" si="8"/>
        <v>428</v>
      </c>
      <c r="B429" s="49"/>
      <c r="C429" s="49"/>
      <c r="D429" s="49"/>
      <c r="E429" s="49"/>
    </row>
    <row r="430" spans="1:5" ht="10.5" customHeight="1" x14ac:dyDescent="0.3">
      <c r="A430" s="48">
        <f t="shared" si="8"/>
        <v>429</v>
      </c>
      <c r="B430" s="49"/>
      <c r="C430" s="49"/>
      <c r="D430" s="49"/>
      <c r="E430" s="49"/>
    </row>
    <row r="431" spans="1:5" ht="10.5" customHeight="1" x14ac:dyDescent="0.3">
      <c r="A431" s="48">
        <f t="shared" si="8"/>
        <v>430</v>
      </c>
      <c r="B431" s="49"/>
      <c r="C431" s="49"/>
      <c r="D431" s="49"/>
      <c r="E431" s="49"/>
    </row>
    <row r="432" spans="1:5" ht="10.5" customHeight="1" x14ac:dyDescent="0.3">
      <c r="A432" s="48">
        <f t="shared" si="8"/>
        <v>431</v>
      </c>
      <c r="B432" s="49"/>
      <c r="C432" s="49"/>
      <c r="D432" s="49"/>
      <c r="E432" s="49"/>
    </row>
    <row r="433" spans="1:5" ht="10.5" customHeight="1" x14ac:dyDescent="0.3">
      <c r="A433" s="48">
        <f t="shared" si="8"/>
        <v>432</v>
      </c>
      <c r="B433" s="49"/>
      <c r="C433" s="49"/>
      <c r="D433" s="49"/>
      <c r="E433" s="49"/>
    </row>
    <row r="434" spans="1:5" ht="10.5" customHeight="1" x14ac:dyDescent="0.3">
      <c r="A434" s="48">
        <f t="shared" si="8"/>
        <v>433</v>
      </c>
      <c r="B434" s="49"/>
      <c r="C434" s="49"/>
      <c r="D434" s="49"/>
      <c r="E434" s="49"/>
    </row>
    <row r="435" spans="1:5" ht="10.5" customHeight="1" x14ac:dyDescent="0.3">
      <c r="A435" s="48">
        <f t="shared" si="8"/>
        <v>434</v>
      </c>
      <c r="B435" s="49"/>
      <c r="C435" s="49"/>
      <c r="D435" s="51"/>
      <c r="E435" s="49"/>
    </row>
    <row r="436" spans="1:5" ht="10.5" customHeight="1" x14ac:dyDescent="0.3">
      <c r="A436" s="48">
        <f t="shared" si="8"/>
        <v>435</v>
      </c>
      <c r="B436" s="49"/>
      <c r="C436" s="49"/>
      <c r="D436" s="49"/>
      <c r="E436" s="49"/>
    </row>
    <row r="437" spans="1:5" ht="10.5" customHeight="1" x14ac:dyDescent="0.3">
      <c r="A437" s="48">
        <f t="shared" si="8"/>
        <v>436</v>
      </c>
      <c r="B437" s="49"/>
      <c r="C437" s="49"/>
      <c r="D437" s="49"/>
      <c r="E437" s="49"/>
    </row>
    <row r="438" spans="1:5" ht="10.5" customHeight="1" x14ac:dyDescent="0.3">
      <c r="A438" s="48">
        <f t="shared" si="8"/>
        <v>437</v>
      </c>
      <c r="B438" s="49"/>
      <c r="C438" s="49"/>
      <c r="D438" s="49"/>
      <c r="E438" s="49"/>
    </row>
    <row r="439" spans="1:5" ht="10.5" customHeight="1" x14ac:dyDescent="0.3">
      <c r="A439" s="48">
        <f t="shared" si="8"/>
        <v>438</v>
      </c>
      <c r="B439" s="49"/>
      <c r="C439" s="49"/>
      <c r="D439" s="49"/>
      <c r="E439" s="49"/>
    </row>
    <row r="440" spans="1:5" ht="10.5" customHeight="1" x14ac:dyDescent="0.3">
      <c r="A440" s="48">
        <f t="shared" si="8"/>
        <v>439</v>
      </c>
      <c r="B440" s="49"/>
      <c r="C440" s="49"/>
      <c r="D440" s="49"/>
      <c r="E440" s="49"/>
    </row>
    <row r="441" spans="1:5" ht="10.5" customHeight="1" x14ac:dyDescent="0.3">
      <c r="A441" s="48">
        <f t="shared" si="8"/>
        <v>440</v>
      </c>
      <c r="B441" s="49"/>
      <c r="C441" s="49"/>
      <c r="D441" s="49"/>
      <c r="E441" s="49"/>
    </row>
    <row r="442" spans="1:5" ht="10.5" customHeight="1" x14ac:dyDescent="0.3">
      <c r="A442" s="48">
        <f t="shared" si="8"/>
        <v>441</v>
      </c>
      <c r="B442" s="49"/>
      <c r="C442" s="49"/>
      <c r="D442" s="49"/>
      <c r="E442" s="49"/>
    </row>
    <row r="443" spans="1:5" ht="10.5" customHeight="1" x14ac:dyDescent="0.3">
      <c r="A443" s="48">
        <f t="shared" si="8"/>
        <v>442</v>
      </c>
      <c r="B443" s="49"/>
      <c r="C443" s="49"/>
      <c r="D443" s="49"/>
      <c r="E443" s="49"/>
    </row>
    <row r="444" spans="1:5" ht="10.5" customHeight="1" x14ac:dyDescent="0.3">
      <c r="A444" s="48">
        <f t="shared" si="8"/>
        <v>443</v>
      </c>
      <c r="B444" s="49"/>
      <c r="C444" s="49"/>
      <c r="D444" s="49"/>
      <c r="E444" s="49"/>
    </row>
    <row r="445" spans="1:5" ht="10.5" customHeight="1" x14ac:dyDescent="0.3">
      <c r="A445" s="48">
        <f t="shared" si="8"/>
        <v>444</v>
      </c>
      <c r="B445" s="49"/>
      <c r="C445" s="49"/>
      <c r="D445" s="49"/>
      <c r="E445" s="49"/>
    </row>
    <row r="446" spans="1:5" ht="10.5" customHeight="1" x14ac:dyDescent="0.3">
      <c r="A446" s="48">
        <f t="shared" si="8"/>
        <v>445</v>
      </c>
      <c r="B446" s="49"/>
      <c r="C446" s="49"/>
      <c r="D446" s="49"/>
      <c r="E446" s="49"/>
    </row>
    <row r="447" spans="1:5" ht="10.5" customHeight="1" x14ac:dyDescent="0.3">
      <c r="A447" s="48">
        <f t="shared" si="8"/>
        <v>446</v>
      </c>
      <c r="B447" s="49"/>
      <c r="C447" s="49"/>
      <c r="D447" s="49"/>
      <c r="E447" s="49"/>
    </row>
    <row r="448" spans="1:5" ht="10.5" customHeight="1" x14ac:dyDescent="0.3">
      <c r="A448" s="48">
        <f t="shared" si="8"/>
        <v>447</v>
      </c>
      <c r="B448" s="49"/>
      <c r="C448" s="49"/>
      <c r="D448" s="49"/>
      <c r="E448" s="49"/>
    </row>
    <row r="449" spans="1:5" ht="10.5" customHeight="1" x14ac:dyDescent="0.3">
      <c r="A449" s="48">
        <f t="shared" si="8"/>
        <v>448</v>
      </c>
      <c r="B449" s="49"/>
      <c r="C449" s="49"/>
      <c r="D449" s="49"/>
      <c r="E449" s="49"/>
    </row>
    <row r="450" spans="1:5" ht="10.5" customHeight="1" x14ac:dyDescent="0.3">
      <c r="A450" s="48">
        <f t="shared" si="8"/>
        <v>449</v>
      </c>
      <c r="B450" s="49"/>
      <c r="C450" s="49"/>
      <c r="D450" s="49"/>
      <c r="E450" s="49"/>
    </row>
    <row r="451" spans="1:5" ht="10.5" customHeight="1" x14ac:dyDescent="0.3">
      <c r="A451" s="48">
        <f t="shared" ref="A451:A514" si="9">A450+1</f>
        <v>450</v>
      </c>
      <c r="B451" s="49"/>
      <c r="C451" s="49"/>
      <c r="D451" s="49"/>
      <c r="E451" s="49"/>
    </row>
    <row r="452" spans="1:5" ht="10.5" customHeight="1" x14ac:dyDescent="0.3">
      <c r="A452" s="48">
        <f t="shared" si="9"/>
        <v>451</v>
      </c>
      <c r="B452" s="49"/>
      <c r="C452" s="49"/>
      <c r="D452" s="49"/>
      <c r="E452" s="49"/>
    </row>
    <row r="453" spans="1:5" ht="10.5" customHeight="1" x14ac:dyDescent="0.3">
      <c r="A453" s="48">
        <f t="shared" si="9"/>
        <v>452</v>
      </c>
      <c r="B453" s="49"/>
      <c r="C453" s="49"/>
      <c r="D453" s="49"/>
      <c r="E453" s="49"/>
    </row>
    <row r="454" spans="1:5" ht="10.5" customHeight="1" x14ac:dyDescent="0.3">
      <c r="A454" s="48">
        <f t="shared" si="9"/>
        <v>453</v>
      </c>
      <c r="B454" s="49"/>
      <c r="C454" s="49"/>
      <c r="D454" s="49"/>
      <c r="E454" s="49"/>
    </row>
    <row r="455" spans="1:5" ht="10.5" customHeight="1" x14ac:dyDescent="0.3">
      <c r="A455" s="48">
        <f t="shared" si="9"/>
        <v>454</v>
      </c>
      <c r="B455" s="49"/>
      <c r="C455" s="49"/>
      <c r="D455" s="49"/>
      <c r="E455" s="49"/>
    </row>
    <row r="456" spans="1:5" ht="10.5" customHeight="1" x14ac:dyDescent="0.3">
      <c r="A456" s="48">
        <f t="shared" si="9"/>
        <v>455</v>
      </c>
      <c r="B456" s="49"/>
      <c r="C456" s="49"/>
      <c r="D456" s="49"/>
      <c r="E456" s="49"/>
    </row>
    <row r="457" spans="1:5" ht="10.5" customHeight="1" x14ac:dyDescent="0.3">
      <c r="A457" s="48">
        <f t="shared" si="9"/>
        <v>456</v>
      </c>
      <c r="B457" s="49"/>
      <c r="C457" s="49"/>
      <c r="D457" s="49"/>
      <c r="E457" s="49"/>
    </row>
    <row r="458" spans="1:5" ht="10.5" customHeight="1" x14ac:dyDescent="0.3">
      <c r="A458" s="48">
        <f t="shared" si="9"/>
        <v>457</v>
      </c>
      <c r="B458" s="49"/>
      <c r="C458" s="49"/>
      <c r="D458" s="49"/>
      <c r="E458" s="49"/>
    </row>
    <row r="459" spans="1:5" ht="10.5" customHeight="1" x14ac:dyDescent="0.3">
      <c r="A459" s="48">
        <f t="shared" si="9"/>
        <v>458</v>
      </c>
      <c r="B459" s="49"/>
      <c r="C459" s="49"/>
      <c r="D459" s="49"/>
      <c r="E459" s="49"/>
    </row>
    <row r="460" spans="1:5" ht="10.5" customHeight="1" x14ac:dyDescent="0.3">
      <c r="A460" s="48">
        <f t="shared" si="9"/>
        <v>459</v>
      </c>
      <c r="B460" s="49"/>
      <c r="C460" s="49"/>
      <c r="D460" s="49"/>
      <c r="E460" s="49"/>
    </row>
    <row r="461" spans="1:5" ht="10.5" customHeight="1" x14ac:dyDescent="0.3">
      <c r="A461" s="48">
        <f t="shared" si="9"/>
        <v>460</v>
      </c>
      <c r="B461" s="49"/>
      <c r="C461" s="49"/>
      <c r="D461" s="49"/>
      <c r="E461" s="49"/>
    </row>
    <row r="462" spans="1:5" ht="10.5" customHeight="1" x14ac:dyDescent="0.3">
      <c r="A462" s="48">
        <f t="shared" si="9"/>
        <v>461</v>
      </c>
      <c r="B462" s="49"/>
      <c r="C462" s="49"/>
      <c r="D462" s="49"/>
      <c r="E462" s="49"/>
    </row>
    <row r="463" spans="1:5" ht="10.5" customHeight="1" x14ac:dyDescent="0.3">
      <c r="A463" s="48">
        <f t="shared" si="9"/>
        <v>462</v>
      </c>
      <c r="B463" s="49"/>
      <c r="C463" s="49"/>
      <c r="D463" s="49"/>
      <c r="E463" s="49"/>
    </row>
    <row r="464" spans="1:5" ht="10.5" customHeight="1" x14ac:dyDescent="0.3">
      <c r="A464" s="48">
        <f t="shared" si="9"/>
        <v>463</v>
      </c>
      <c r="B464" s="49"/>
      <c r="C464" s="49"/>
      <c r="D464" s="49"/>
      <c r="E464" s="49"/>
    </row>
    <row r="465" spans="1:5" ht="10.5" customHeight="1" x14ac:dyDescent="0.3">
      <c r="A465" s="48">
        <f t="shared" si="9"/>
        <v>464</v>
      </c>
      <c r="B465" s="49"/>
      <c r="C465" s="49"/>
      <c r="D465" s="49"/>
      <c r="E465" s="49"/>
    </row>
    <row r="466" spans="1:5" ht="10.5" customHeight="1" x14ac:dyDescent="0.3">
      <c r="A466" s="48">
        <f t="shared" si="9"/>
        <v>465</v>
      </c>
      <c r="B466" s="49"/>
      <c r="C466" s="49"/>
      <c r="D466" s="49"/>
      <c r="E466" s="49"/>
    </row>
    <row r="467" spans="1:5" ht="10.5" customHeight="1" x14ac:dyDescent="0.3">
      <c r="A467" s="48">
        <f t="shared" si="9"/>
        <v>466</v>
      </c>
      <c r="B467" s="49"/>
      <c r="C467" s="49"/>
      <c r="D467" s="49"/>
      <c r="E467" s="49"/>
    </row>
    <row r="468" spans="1:5" ht="10.5" customHeight="1" x14ac:dyDescent="0.3">
      <c r="A468" s="48">
        <f t="shared" si="9"/>
        <v>467</v>
      </c>
      <c r="B468" s="49"/>
      <c r="C468" s="49"/>
      <c r="D468" s="49"/>
      <c r="E468" s="49"/>
    </row>
    <row r="469" spans="1:5" ht="10.5" customHeight="1" x14ac:dyDescent="0.3">
      <c r="A469" s="48">
        <f t="shared" si="9"/>
        <v>468</v>
      </c>
      <c r="B469" s="49"/>
      <c r="C469" s="49"/>
      <c r="D469" s="49"/>
      <c r="E469" s="49"/>
    </row>
    <row r="470" spans="1:5" ht="10.5" customHeight="1" x14ac:dyDescent="0.3">
      <c r="A470" s="48">
        <f t="shared" si="9"/>
        <v>469</v>
      </c>
      <c r="B470" s="49"/>
      <c r="C470" s="49"/>
      <c r="D470" s="49"/>
      <c r="E470" s="49"/>
    </row>
    <row r="471" spans="1:5" ht="10.5" customHeight="1" x14ac:dyDescent="0.3">
      <c r="A471" s="48">
        <f t="shared" si="9"/>
        <v>470</v>
      </c>
      <c r="B471" s="49"/>
      <c r="C471" s="49"/>
      <c r="D471" s="49"/>
      <c r="E471" s="49"/>
    </row>
    <row r="472" spans="1:5" ht="10.5" customHeight="1" x14ac:dyDescent="0.3">
      <c r="A472" s="48">
        <f t="shared" si="9"/>
        <v>471</v>
      </c>
      <c r="B472" s="49"/>
      <c r="C472" s="49"/>
      <c r="D472" s="49"/>
      <c r="E472" s="49"/>
    </row>
    <row r="473" spans="1:5" ht="10.5" customHeight="1" x14ac:dyDescent="0.3">
      <c r="A473" s="48">
        <f t="shared" si="9"/>
        <v>472</v>
      </c>
      <c r="B473" s="49"/>
      <c r="C473" s="49"/>
      <c r="D473" s="49"/>
      <c r="E473" s="49"/>
    </row>
    <row r="474" spans="1:5" ht="10.5" customHeight="1" x14ac:dyDescent="0.3">
      <c r="A474" s="48">
        <f t="shared" si="9"/>
        <v>473</v>
      </c>
      <c r="B474" s="49"/>
      <c r="C474" s="49"/>
      <c r="D474" s="49"/>
      <c r="E474" s="49"/>
    </row>
    <row r="475" spans="1:5" ht="10.5" customHeight="1" x14ac:dyDescent="0.3">
      <c r="A475" s="48">
        <f t="shared" si="9"/>
        <v>474</v>
      </c>
      <c r="B475" s="49"/>
      <c r="C475" s="49"/>
      <c r="D475" s="49"/>
      <c r="E475" s="49"/>
    </row>
    <row r="476" spans="1:5" ht="10.5" customHeight="1" x14ac:dyDescent="0.3">
      <c r="A476" s="48">
        <f t="shared" si="9"/>
        <v>475</v>
      </c>
      <c r="B476" s="49"/>
      <c r="C476" s="49"/>
      <c r="D476" s="49"/>
      <c r="E476" s="49"/>
    </row>
    <row r="477" spans="1:5" ht="10.5" customHeight="1" x14ac:dyDescent="0.3">
      <c r="A477" s="48">
        <f t="shared" si="9"/>
        <v>476</v>
      </c>
      <c r="B477" s="49"/>
      <c r="C477" s="49"/>
      <c r="D477" s="49"/>
      <c r="E477" s="49"/>
    </row>
    <row r="478" spans="1:5" ht="10.5" customHeight="1" x14ac:dyDescent="0.3">
      <c r="A478" s="48">
        <f t="shared" si="9"/>
        <v>477</v>
      </c>
      <c r="B478" s="49"/>
      <c r="C478" s="49"/>
      <c r="D478" s="49"/>
      <c r="E478" s="49"/>
    </row>
    <row r="479" spans="1:5" ht="10.5" customHeight="1" x14ac:dyDescent="0.3">
      <c r="A479" s="48">
        <f t="shared" si="9"/>
        <v>478</v>
      </c>
      <c r="B479" s="49"/>
      <c r="C479" s="49"/>
      <c r="D479" s="49"/>
      <c r="E479" s="49"/>
    </row>
    <row r="480" spans="1:5" ht="10.5" customHeight="1" x14ac:dyDescent="0.3">
      <c r="A480" s="48">
        <f t="shared" si="9"/>
        <v>479</v>
      </c>
      <c r="B480" s="49"/>
      <c r="C480" s="49"/>
      <c r="D480" s="49"/>
      <c r="E480" s="49"/>
    </row>
    <row r="481" spans="1:5" ht="10.5" customHeight="1" x14ac:dyDescent="0.3">
      <c r="A481" s="48">
        <f t="shared" si="9"/>
        <v>480</v>
      </c>
      <c r="B481" s="49"/>
      <c r="C481" s="49"/>
      <c r="D481" s="49"/>
      <c r="E481" s="49"/>
    </row>
    <row r="482" spans="1:5" ht="10.5" customHeight="1" x14ac:dyDescent="0.3">
      <c r="A482" s="48">
        <f t="shared" si="9"/>
        <v>481</v>
      </c>
      <c r="B482" s="49"/>
      <c r="C482" s="49"/>
      <c r="D482" s="49"/>
      <c r="E482" s="49"/>
    </row>
    <row r="483" spans="1:5" ht="10.5" customHeight="1" x14ac:dyDescent="0.3">
      <c r="A483" s="48">
        <f t="shared" si="9"/>
        <v>482</v>
      </c>
      <c r="B483" s="49"/>
      <c r="C483" s="49"/>
      <c r="D483" s="49"/>
      <c r="E483" s="49"/>
    </row>
    <row r="484" spans="1:5" ht="10.5" customHeight="1" x14ac:dyDescent="0.3">
      <c r="A484" s="48">
        <f t="shared" si="9"/>
        <v>483</v>
      </c>
      <c r="B484" s="49"/>
      <c r="C484" s="49"/>
      <c r="D484" s="49"/>
      <c r="E484" s="49"/>
    </row>
    <row r="485" spans="1:5" ht="10.5" customHeight="1" x14ac:dyDescent="0.3">
      <c r="A485" s="48">
        <f t="shared" si="9"/>
        <v>484</v>
      </c>
      <c r="B485" s="49"/>
      <c r="C485" s="49"/>
      <c r="D485" s="49"/>
      <c r="E485" s="49"/>
    </row>
    <row r="486" spans="1:5" ht="10.5" customHeight="1" x14ac:dyDescent="0.3">
      <c r="A486" s="48">
        <f t="shared" si="9"/>
        <v>485</v>
      </c>
      <c r="B486" s="49"/>
      <c r="C486" s="49"/>
      <c r="D486" s="49"/>
      <c r="E486" s="49"/>
    </row>
    <row r="487" spans="1:5" ht="10.5" customHeight="1" x14ac:dyDescent="0.3">
      <c r="A487" s="48">
        <f t="shared" si="9"/>
        <v>486</v>
      </c>
      <c r="B487" s="49"/>
      <c r="C487" s="49"/>
      <c r="D487" s="49"/>
      <c r="E487" s="49"/>
    </row>
    <row r="488" spans="1:5" ht="10.5" customHeight="1" x14ac:dyDescent="0.3">
      <c r="A488" s="48">
        <f t="shared" si="9"/>
        <v>487</v>
      </c>
      <c r="B488" s="49"/>
      <c r="C488" s="49"/>
      <c r="D488" s="49"/>
      <c r="E488" s="49"/>
    </row>
    <row r="489" spans="1:5" ht="10.5" customHeight="1" x14ac:dyDescent="0.3">
      <c r="A489" s="48">
        <f t="shared" si="9"/>
        <v>488</v>
      </c>
      <c r="B489" s="49"/>
      <c r="C489" s="49"/>
      <c r="D489" s="49"/>
      <c r="E489" s="49"/>
    </row>
    <row r="490" spans="1:5" ht="10.5" customHeight="1" x14ac:dyDescent="0.3">
      <c r="A490" s="48">
        <f t="shared" si="9"/>
        <v>489</v>
      </c>
      <c r="B490" s="49"/>
      <c r="C490" s="49"/>
      <c r="D490" s="49"/>
      <c r="E490" s="49"/>
    </row>
    <row r="491" spans="1:5" ht="10.5" customHeight="1" x14ac:dyDescent="0.3">
      <c r="A491" s="48">
        <f t="shared" si="9"/>
        <v>490</v>
      </c>
      <c r="B491" s="49"/>
      <c r="C491" s="49"/>
      <c r="D491" s="49"/>
      <c r="E491" s="49"/>
    </row>
    <row r="492" spans="1:5" ht="10.5" customHeight="1" x14ac:dyDescent="0.3">
      <c r="A492" s="48">
        <f t="shared" si="9"/>
        <v>491</v>
      </c>
      <c r="B492" s="49"/>
      <c r="C492" s="49"/>
      <c r="D492" s="49"/>
      <c r="E492" s="49"/>
    </row>
    <row r="493" spans="1:5" ht="10.5" customHeight="1" x14ac:dyDescent="0.3">
      <c r="A493" s="48">
        <f t="shared" si="9"/>
        <v>492</v>
      </c>
      <c r="B493" s="49"/>
      <c r="C493" s="49"/>
      <c r="D493" s="49"/>
      <c r="E493" s="49"/>
    </row>
    <row r="494" spans="1:5" ht="10.5" customHeight="1" x14ac:dyDescent="0.3">
      <c r="A494" s="48">
        <f t="shared" si="9"/>
        <v>493</v>
      </c>
      <c r="B494" s="49"/>
      <c r="C494" s="49"/>
      <c r="D494" s="49"/>
      <c r="E494" s="49"/>
    </row>
    <row r="495" spans="1:5" ht="10.5" customHeight="1" x14ac:dyDescent="0.3">
      <c r="A495" s="48">
        <f t="shared" si="9"/>
        <v>494</v>
      </c>
      <c r="B495" s="49"/>
      <c r="C495" s="49"/>
      <c r="D495" s="49"/>
      <c r="E495" s="49"/>
    </row>
    <row r="496" spans="1:5" ht="10.5" customHeight="1" x14ac:dyDescent="0.3">
      <c r="A496" s="48">
        <f t="shared" si="9"/>
        <v>495</v>
      </c>
      <c r="B496" s="49"/>
      <c r="C496" s="49"/>
      <c r="D496" s="49"/>
      <c r="E496" s="49"/>
    </row>
    <row r="497" spans="1:5" ht="10.5" customHeight="1" x14ac:dyDescent="0.3">
      <c r="A497" s="48">
        <f t="shared" si="9"/>
        <v>496</v>
      </c>
      <c r="B497" s="49"/>
      <c r="C497" s="49"/>
      <c r="D497" s="49"/>
      <c r="E497" s="49"/>
    </row>
    <row r="498" spans="1:5" ht="10.5" customHeight="1" x14ac:dyDescent="0.3">
      <c r="A498" s="48">
        <f t="shared" si="9"/>
        <v>497</v>
      </c>
      <c r="B498" s="49"/>
      <c r="C498" s="49"/>
      <c r="D498" s="49"/>
      <c r="E498" s="49"/>
    </row>
    <row r="499" spans="1:5" ht="10.5" customHeight="1" x14ac:dyDescent="0.3">
      <c r="A499" s="48">
        <f t="shared" si="9"/>
        <v>498</v>
      </c>
      <c r="B499" s="49"/>
      <c r="C499" s="49"/>
      <c r="D499" s="49"/>
      <c r="E499" s="49"/>
    </row>
    <row r="500" spans="1:5" ht="10.5" customHeight="1" x14ac:dyDescent="0.3">
      <c r="A500" s="48">
        <f t="shared" si="9"/>
        <v>499</v>
      </c>
      <c r="B500" s="49"/>
      <c r="C500" s="49"/>
      <c r="D500" s="49"/>
      <c r="E500" s="49"/>
    </row>
    <row r="501" spans="1:5" ht="10.5" customHeight="1" x14ac:dyDescent="0.3">
      <c r="A501" s="48">
        <f t="shared" si="9"/>
        <v>500</v>
      </c>
      <c r="B501" s="49"/>
      <c r="C501" s="49"/>
      <c r="D501" s="49"/>
      <c r="E501" s="49"/>
    </row>
    <row r="502" spans="1:5" ht="10.5" customHeight="1" x14ac:dyDescent="0.3">
      <c r="A502" s="48">
        <f t="shared" si="9"/>
        <v>501</v>
      </c>
      <c r="B502" s="49"/>
      <c r="C502" s="49"/>
      <c r="D502" s="49"/>
      <c r="E502" s="49"/>
    </row>
    <row r="503" spans="1:5" ht="10.5" customHeight="1" x14ac:dyDescent="0.3">
      <c r="A503" s="48">
        <f t="shared" si="9"/>
        <v>502</v>
      </c>
      <c r="B503" s="49"/>
      <c r="C503" s="49"/>
      <c r="D503" s="49"/>
      <c r="E503" s="49"/>
    </row>
    <row r="504" spans="1:5" ht="10.5" customHeight="1" x14ac:dyDescent="0.3">
      <c r="A504" s="48">
        <f t="shared" si="9"/>
        <v>503</v>
      </c>
      <c r="B504" s="49"/>
      <c r="C504" s="49"/>
      <c r="D504" s="49"/>
      <c r="E504" s="49"/>
    </row>
    <row r="505" spans="1:5" ht="10.5" customHeight="1" x14ac:dyDescent="0.3">
      <c r="A505" s="48">
        <f t="shared" si="9"/>
        <v>504</v>
      </c>
      <c r="B505" s="49"/>
      <c r="C505" s="49"/>
      <c r="D505" s="49"/>
      <c r="E505" s="49"/>
    </row>
    <row r="506" spans="1:5" ht="10.5" customHeight="1" x14ac:dyDescent="0.3">
      <c r="A506" s="48">
        <f t="shared" si="9"/>
        <v>505</v>
      </c>
      <c r="B506" s="49"/>
      <c r="C506" s="49"/>
      <c r="D506" s="49"/>
      <c r="E506" s="49"/>
    </row>
    <row r="507" spans="1:5" ht="10.5" customHeight="1" x14ac:dyDescent="0.3">
      <c r="A507" s="48">
        <f t="shared" si="9"/>
        <v>506</v>
      </c>
      <c r="B507" s="49"/>
      <c r="C507" s="49"/>
      <c r="D507" s="49"/>
      <c r="E507" s="49"/>
    </row>
    <row r="508" spans="1:5" ht="10.5" customHeight="1" x14ac:dyDescent="0.3">
      <c r="A508" s="48">
        <f t="shared" si="9"/>
        <v>507</v>
      </c>
      <c r="B508" s="49"/>
      <c r="C508" s="49"/>
      <c r="D508" s="49"/>
      <c r="E508" s="49"/>
    </row>
    <row r="509" spans="1:5" ht="10.5" customHeight="1" x14ac:dyDescent="0.3">
      <c r="A509" s="48">
        <f t="shared" si="9"/>
        <v>508</v>
      </c>
      <c r="B509" s="49"/>
      <c r="C509" s="49"/>
      <c r="D509" s="49"/>
      <c r="E509" s="49"/>
    </row>
    <row r="510" spans="1:5" ht="10.5" customHeight="1" x14ac:dyDescent="0.3">
      <c r="A510" s="48">
        <f t="shared" si="9"/>
        <v>509</v>
      </c>
      <c r="B510" s="49"/>
      <c r="C510" s="49"/>
      <c r="D510" s="49"/>
      <c r="E510" s="49"/>
    </row>
    <row r="511" spans="1:5" ht="10.5" customHeight="1" x14ac:dyDescent="0.3">
      <c r="A511" s="48">
        <f t="shared" si="9"/>
        <v>510</v>
      </c>
      <c r="B511" s="49"/>
      <c r="C511" s="49"/>
      <c r="D511" s="49"/>
      <c r="E511" s="49"/>
    </row>
    <row r="512" spans="1:5" ht="10.5" customHeight="1" x14ac:dyDescent="0.3">
      <c r="A512" s="48">
        <f t="shared" si="9"/>
        <v>511</v>
      </c>
      <c r="B512" s="49"/>
      <c r="C512" s="49"/>
      <c r="D512" s="49"/>
      <c r="E512" s="49"/>
    </row>
    <row r="513" spans="1:5" ht="10.5" customHeight="1" x14ac:dyDescent="0.3">
      <c r="A513" s="48">
        <f t="shared" si="9"/>
        <v>512</v>
      </c>
      <c r="B513" s="49"/>
      <c r="C513" s="49"/>
      <c r="D513" s="49"/>
      <c r="E513" s="49"/>
    </row>
    <row r="514" spans="1:5" ht="10.5" customHeight="1" x14ac:dyDescent="0.3">
      <c r="A514" s="48">
        <f t="shared" si="9"/>
        <v>513</v>
      </c>
      <c r="B514" s="49"/>
      <c r="C514" s="49"/>
      <c r="D514" s="49"/>
      <c r="E514" s="49"/>
    </row>
    <row r="515" spans="1:5" ht="10.5" customHeight="1" x14ac:dyDescent="0.3">
      <c r="A515" s="48">
        <f t="shared" ref="A515:A578" si="10">A514+1</f>
        <v>514</v>
      </c>
      <c r="B515" s="49"/>
      <c r="C515" s="49"/>
      <c r="D515" s="49"/>
      <c r="E515" s="49"/>
    </row>
    <row r="516" spans="1:5" ht="10.5" customHeight="1" x14ac:dyDescent="0.3">
      <c r="A516" s="48">
        <f t="shared" si="10"/>
        <v>515</v>
      </c>
      <c r="B516" s="49"/>
      <c r="C516" s="49"/>
      <c r="D516" s="49"/>
      <c r="E516" s="49"/>
    </row>
    <row r="517" spans="1:5" ht="10.5" customHeight="1" x14ac:dyDescent="0.3">
      <c r="A517" s="48">
        <f t="shared" si="10"/>
        <v>516</v>
      </c>
      <c r="B517" s="49"/>
      <c r="C517" s="49"/>
      <c r="D517" s="49"/>
      <c r="E517" s="49"/>
    </row>
    <row r="518" spans="1:5" ht="10.5" customHeight="1" x14ac:dyDescent="0.3">
      <c r="A518" s="48">
        <f t="shared" si="10"/>
        <v>517</v>
      </c>
      <c r="B518" s="49"/>
      <c r="C518" s="49"/>
      <c r="D518" s="49"/>
      <c r="E518" s="49"/>
    </row>
    <row r="519" spans="1:5" ht="10.5" customHeight="1" x14ac:dyDescent="0.3">
      <c r="A519" s="48">
        <f t="shared" si="10"/>
        <v>518</v>
      </c>
      <c r="B519" s="49"/>
      <c r="C519" s="49"/>
      <c r="D519" s="49"/>
      <c r="E519" s="49"/>
    </row>
    <row r="520" spans="1:5" ht="10.5" customHeight="1" x14ac:dyDescent="0.3">
      <c r="A520" s="48">
        <f t="shared" si="10"/>
        <v>519</v>
      </c>
      <c r="B520" s="49"/>
      <c r="C520" s="49"/>
      <c r="D520" s="49"/>
      <c r="E520" s="49"/>
    </row>
    <row r="521" spans="1:5" ht="10.5" customHeight="1" x14ac:dyDescent="0.3">
      <c r="A521" s="48">
        <f t="shared" si="10"/>
        <v>520</v>
      </c>
      <c r="B521" s="49"/>
      <c r="C521" s="49"/>
      <c r="D521" s="49"/>
      <c r="E521" s="49"/>
    </row>
    <row r="522" spans="1:5" ht="10.5" customHeight="1" x14ac:dyDescent="0.3">
      <c r="A522" s="48">
        <f t="shared" si="10"/>
        <v>521</v>
      </c>
      <c r="B522" s="49"/>
      <c r="C522" s="49"/>
      <c r="D522" s="49"/>
      <c r="E522" s="49"/>
    </row>
    <row r="523" spans="1:5" ht="10.5" customHeight="1" x14ac:dyDescent="0.3">
      <c r="A523" s="48">
        <f t="shared" si="10"/>
        <v>522</v>
      </c>
      <c r="B523" s="49"/>
      <c r="C523" s="49"/>
      <c r="D523" s="49"/>
      <c r="E523" s="49"/>
    </row>
    <row r="524" spans="1:5" ht="10.5" customHeight="1" x14ac:dyDescent="0.3">
      <c r="A524" s="48">
        <f t="shared" si="10"/>
        <v>523</v>
      </c>
      <c r="B524" s="49"/>
      <c r="C524" s="49"/>
      <c r="D524" s="49"/>
      <c r="E524" s="49"/>
    </row>
    <row r="525" spans="1:5" ht="10.5" customHeight="1" x14ac:dyDescent="0.3">
      <c r="A525" s="48">
        <f t="shared" si="10"/>
        <v>524</v>
      </c>
      <c r="B525" s="49"/>
      <c r="C525" s="49"/>
      <c r="D525" s="49"/>
      <c r="E525" s="49"/>
    </row>
    <row r="526" spans="1:5" ht="10.5" customHeight="1" x14ac:dyDescent="0.3">
      <c r="A526" s="48">
        <f t="shared" si="10"/>
        <v>525</v>
      </c>
      <c r="B526" s="49"/>
      <c r="C526" s="49"/>
      <c r="D526" s="49"/>
      <c r="E526" s="49"/>
    </row>
    <row r="527" spans="1:5" ht="10.5" customHeight="1" x14ac:dyDescent="0.3">
      <c r="A527" s="48">
        <f t="shared" si="10"/>
        <v>526</v>
      </c>
      <c r="B527" s="49"/>
      <c r="C527" s="49"/>
      <c r="D527" s="49"/>
      <c r="E527" s="49"/>
    </row>
    <row r="528" spans="1:5" ht="10.5" customHeight="1" x14ac:dyDescent="0.3">
      <c r="A528" s="48">
        <f t="shared" si="10"/>
        <v>527</v>
      </c>
      <c r="B528" s="49"/>
      <c r="C528" s="49"/>
      <c r="D528" s="49"/>
      <c r="E528" s="49"/>
    </row>
    <row r="529" spans="1:5" ht="10.5" customHeight="1" x14ac:dyDescent="0.3">
      <c r="A529" s="48">
        <f t="shared" si="10"/>
        <v>528</v>
      </c>
      <c r="B529" s="49"/>
      <c r="C529" s="49"/>
      <c r="D529" s="49"/>
      <c r="E529" s="49"/>
    </row>
    <row r="530" spans="1:5" ht="10.5" customHeight="1" x14ac:dyDescent="0.3">
      <c r="A530" s="48">
        <f t="shared" si="10"/>
        <v>529</v>
      </c>
      <c r="B530" s="49"/>
      <c r="C530" s="49"/>
      <c r="D530" s="49"/>
      <c r="E530" s="49"/>
    </row>
    <row r="531" spans="1:5" ht="10.5" customHeight="1" x14ac:dyDescent="0.3">
      <c r="A531" s="48">
        <f t="shared" si="10"/>
        <v>530</v>
      </c>
      <c r="B531" s="49"/>
      <c r="C531" s="49"/>
      <c r="D531" s="49"/>
      <c r="E531" s="49"/>
    </row>
    <row r="532" spans="1:5" ht="10.5" customHeight="1" x14ac:dyDescent="0.3">
      <c r="A532" s="48">
        <f t="shared" si="10"/>
        <v>531</v>
      </c>
      <c r="B532" s="49"/>
      <c r="C532" s="49"/>
      <c r="D532" s="49"/>
      <c r="E532" s="49"/>
    </row>
    <row r="533" spans="1:5" ht="10.5" customHeight="1" x14ac:dyDescent="0.3">
      <c r="A533" s="48">
        <f t="shared" si="10"/>
        <v>532</v>
      </c>
      <c r="B533" s="49"/>
      <c r="C533" s="49"/>
      <c r="D533" s="49"/>
      <c r="E533" s="49"/>
    </row>
    <row r="534" spans="1:5" ht="10.5" customHeight="1" x14ac:dyDescent="0.3">
      <c r="A534" s="48">
        <f t="shared" si="10"/>
        <v>533</v>
      </c>
      <c r="B534" s="49"/>
      <c r="C534" s="49"/>
      <c r="D534" s="49"/>
      <c r="E534" s="49"/>
    </row>
    <row r="535" spans="1:5" ht="10.5" customHeight="1" x14ac:dyDescent="0.3">
      <c r="A535" s="48">
        <f t="shared" si="10"/>
        <v>534</v>
      </c>
      <c r="B535" s="49"/>
      <c r="C535" s="49"/>
      <c r="D535" s="49"/>
      <c r="E535" s="49"/>
    </row>
    <row r="536" spans="1:5" ht="10.5" customHeight="1" x14ac:dyDescent="0.3">
      <c r="A536" s="48">
        <f t="shared" si="10"/>
        <v>535</v>
      </c>
      <c r="B536" s="49"/>
      <c r="C536" s="49"/>
      <c r="D536" s="49"/>
      <c r="E536" s="49"/>
    </row>
    <row r="537" spans="1:5" ht="10.5" customHeight="1" x14ac:dyDescent="0.3">
      <c r="A537" s="48">
        <f t="shared" si="10"/>
        <v>536</v>
      </c>
      <c r="B537" s="49"/>
      <c r="C537" s="49"/>
      <c r="D537" s="49"/>
      <c r="E537" s="49"/>
    </row>
    <row r="538" spans="1:5" ht="10.5" customHeight="1" x14ac:dyDescent="0.3">
      <c r="A538" s="48">
        <f t="shared" si="10"/>
        <v>537</v>
      </c>
      <c r="B538" s="49"/>
      <c r="C538" s="49"/>
      <c r="D538" s="49"/>
      <c r="E538" s="49"/>
    </row>
    <row r="539" spans="1:5" ht="10.5" customHeight="1" x14ac:dyDescent="0.3">
      <c r="A539" s="48">
        <f t="shared" si="10"/>
        <v>538</v>
      </c>
      <c r="B539" s="49"/>
      <c r="C539" s="49"/>
      <c r="D539" s="49"/>
      <c r="E539" s="49"/>
    </row>
    <row r="540" spans="1:5" ht="10.5" customHeight="1" x14ac:dyDescent="0.3">
      <c r="A540" s="48">
        <f t="shared" si="10"/>
        <v>539</v>
      </c>
      <c r="B540" s="49"/>
      <c r="C540" s="49"/>
      <c r="D540" s="49"/>
      <c r="E540" s="49"/>
    </row>
    <row r="541" spans="1:5" ht="10.5" customHeight="1" x14ac:dyDescent="0.3">
      <c r="A541" s="48">
        <f t="shared" si="10"/>
        <v>540</v>
      </c>
      <c r="B541" s="49"/>
      <c r="C541" s="49"/>
      <c r="D541" s="49"/>
      <c r="E541" s="49"/>
    </row>
    <row r="542" spans="1:5" ht="10.5" customHeight="1" x14ac:dyDescent="0.3">
      <c r="A542" s="48">
        <f t="shared" si="10"/>
        <v>541</v>
      </c>
      <c r="B542" s="49"/>
      <c r="C542" s="49"/>
      <c r="D542" s="49"/>
      <c r="E542" s="49"/>
    </row>
    <row r="543" spans="1:5" ht="10.5" customHeight="1" x14ac:dyDescent="0.3">
      <c r="A543" s="48">
        <f t="shared" si="10"/>
        <v>542</v>
      </c>
      <c r="B543" s="49"/>
      <c r="C543" s="49"/>
      <c r="D543" s="49"/>
      <c r="E543" s="49"/>
    </row>
    <row r="544" spans="1:5" ht="10.5" customHeight="1" x14ac:dyDescent="0.3">
      <c r="A544" s="48">
        <f t="shared" si="10"/>
        <v>543</v>
      </c>
      <c r="B544" s="49"/>
      <c r="C544" s="49"/>
      <c r="D544" s="49"/>
      <c r="E544" s="49"/>
    </row>
    <row r="545" spans="1:5" ht="10.5" customHeight="1" x14ac:dyDescent="0.3">
      <c r="A545" s="48">
        <f t="shared" si="10"/>
        <v>544</v>
      </c>
      <c r="B545" s="49"/>
      <c r="C545" s="49"/>
      <c r="D545" s="49"/>
      <c r="E545" s="49"/>
    </row>
    <row r="546" spans="1:5" ht="10.5" customHeight="1" x14ac:dyDescent="0.3">
      <c r="A546" s="48">
        <f t="shared" si="10"/>
        <v>545</v>
      </c>
      <c r="B546" s="49"/>
      <c r="C546" s="49"/>
      <c r="D546" s="49"/>
      <c r="E546" s="49"/>
    </row>
    <row r="547" spans="1:5" ht="10.5" customHeight="1" x14ac:dyDescent="0.3">
      <c r="A547" s="48">
        <f t="shared" si="10"/>
        <v>546</v>
      </c>
      <c r="B547" s="49"/>
      <c r="C547" s="49"/>
      <c r="D547" s="49"/>
      <c r="E547" s="49"/>
    </row>
    <row r="548" spans="1:5" ht="10.5" customHeight="1" x14ac:dyDescent="0.3">
      <c r="A548" s="48">
        <f t="shared" si="10"/>
        <v>547</v>
      </c>
      <c r="B548" s="49"/>
      <c r="C548" s="49"/>
      <c r="D548" s="49"/>
      <c r="E548" s="49"/>
    </row>
    <row r="549" spans="1:5" ht="10.5" customHeight="1" x14ac:dyDescent="0.3">
      <c r="A549" s="48">
        <f t="shared" si="10"/>
        <v>548</v>
      </c>
      <c r="B549" s="49"/>
      <c r="C549" s="49"/>
      <c r="D549" s="49"/>
      <c r="E549" s="49"/>
    </row>
    <row r="550" spans="1:5" ht="10.5" customHeight="1" x14ac:dyDescent="0.3">
      <c r="A550" s="48">
        <f t="shared" si="10"/>
        <v>549</v>
      </c>
      <c r="B550" s="49"/>
      <c r="C550" s="49"/>
      <c r="D550" s="49"/>
      <c r="E550" s="49"/>
    </row>
    <row r="551" spans="1:5" ht="10.5" customHeight="1" x14ac:dyDescent="0.3">
      <c r="A551" s="48">
        <f t="shared" si="10"/>
        <v>550</v>
      </c>
      <c r="B551" s="49"/>
      <c r="C551" s="49"/>
      <c r="D551" s="49"/>
      <c r="E551" s="49"/>
    </row>
    <row r="552" spans="1:5" ht="10.5" customHeight="1" x14ac:dyDescent="0.3">
      <c r="A552" s="48">
        <f t="shared" si="10"/>
        <v>551</v>
      </c>
      <c r="B552" s="49"/>
      <c r="C552" s="49"/>
      <c r="D552" s="49"/>
      <c r="E552" s="49"/>
    </row>
    <row r="553" spans="1:5" ht="10.5" customHeight="1" x14ac:dyDescent="0.3">
      <c r="A553" s="48">
        <f t="shared" si="10"/>
        <v>552</v>
      </c>
      <c r="B553" s="49"/>
      <c r="C553" s="49"/>
      <c r="D553" s="49"/>
      <c r="E553" s="49"/>
    </row>
    <row r="554" spans="1:5" ht="10.5" customHeight="1" x14ac:dyDescent="0.3">
      <c r="A554" s="48">
        <f t="shared" si="10"/>
        <v>553</v>
      </c>
      <c r="B554" s="49"/>
      <c r="C554" s="49"/>
      <c r="D554" s="49"/>
      <c r="E554" s="49"/>
    </row>
    <row r="555" spans="1:5" ht="10.5" customHeight="1" x14ac:dyDescent="0.3">
      <c r="A555" s="48">
        <f t="shared" si="10"/>
        <v>554</v>
      </c>
      <c r="B555" s="49"/>
      <c r="C555" s="49"/>
      <c r="D555" s="49"/>
      <c r="E555" s="49"/>
    </row>
    <row r="556" spans="1:5" ht="10.5" customHeight="1" x14ac:dyDescent="0.3">
      <c r="A556" s="48">
        <f t="shared" si="10"/>
        <v>555</v>
      </c>
      <c r="B556" s="49"/>
      <c r="C556" s="49"/>
      <c r="D556" s="49"/>
      <c r="E556" s="49"/>
    </row>
    <row r="557" spans="1:5" ht="10.5" customHeight="1" x14ac:dyDescent="0.3">
      <c r="A557" s="48">
        <f t="shared" si="10"/>
        <v>556</v>
      </c>
      <c r="B557" s="49"/>
      <c r="C557" s="49"/>
      <c r="D557" s="49"/>
      <c r="E557" s="49"/>
    </row>
    <row r="558" spans="1:5" ht="10.5" customHeight="1" x14ac:dyDescent="0.3">
      <c r="A558" s="48">
        <f t="shared" si="10"/>
        <v>557</v>
      </c>
      <c r="B558" s="49"/>
      <c r="C558" s="49"/>
      <c r="D558" s="49"/>
      <c r="E558" s="49"/>
    </row>
    <row r="559" spans="1:5" ht="10.5" customHeight="1" x14ac:dyDescent="0.3">
      <c r="A559" s="48">
        <f t="shared" si="10"/>
        <v>558</v>
      </c>
      <c r="B559" s="49"/>
      <c r="C559" s="49"/>
      <c r="D559" s="49"/>
      <c r="E559" s="49"/>
    </row>
    <row r="560" spans="1:5" ht="10.5" customHeight="1" x14ac:dyDescent="0.3">
      <c r="A560" s="48">
        <f t="shared" si="10"/>
        <v>559</v>
      </c>
      <c r="B560" s="49"/>
      <c r="C560" s="49"/>
      <c r="D560" s="49"/>
      <c r="E560" s="49"/>
    </row>
    <row r="561" spans="1:5" ht="10.5" customHeight="1" x14ac:dyDescent="0.3">
      <c r="A561" s="48">
        <f t="shared" si="10"/>
        <v>560</v>
      </c>
      <c r="B561" s="49"/>
      <c r="C561" s="49"/>
      <c r="D561" s="49"/>
      <c r="E561" s="49"/>
    </row>
    <row r="562" spans="1:5" ht="10.5" customHeight="1" x14ac:dyDescent="0.3">
      <c r="A562" s="48">
        <f t="shared" si="10"/>
        <v>561</v>
      </c>
      <c r="B562" s="49"/>
      <c r="C562" s="49"/>
      <c r="D562" s="49"/>
      <c r="E562" s="49"/>
    </row>
    <row r="563" spans="1:5" ht="10.5" customHeight="1" x14ac:dyDescent="0.3">
      <c r="A563" s="48">
        <f t="shared" si="10"/>
        <v>562</v>
      </c>
      <c r="B563" s="49"/>
      <c r="C563" s="49"/>
      <c r="D563" s="49"/>
      <c r="E563" s="49"/>
    </row>
    <row r="564" spans="1:5" ht="10.5" customHeight="1" x14ac:dyDescent="0.3">
      <c r="A564" s="48">
        <f t="shared" si="10"/>
        <v>563</v>
      </c>
      <c r="B564" s="49"/>
      <c r="C564" s="49"/>
      <c r="D564" s="49"/>
      <c r="E564" s="49"/>
    </row>
    <row r="565" spans="1:5" ht="10.5" customHeight="1" x14ac:dyDescent="0.3">
      <c r="A565" s="48">
        <f t="shared" si="10"/>
        <v>564</v>
      </c>
      <c r="B565" s="49"/>
      <c r="C565" s="49"/>
      <c r="D565" s="49"/>
      <c r="E565" s="49"/>
    </row>
    <row r="566" spans="1:5" ht="10.5" customHeight="1" x14ac:dyDescent="0.3">
      <c r="A566" s="48">
        <f t="shared" si="10"/>
        <v>565</v>
      </c>
      <c r="B566" s="49"/>
      <c r="C566" s="49"/>
      <c r="D566" s="49"/>
      <c r="E566" s="49"/>
    </row>
    <row r="567" spans="1:5" ht="10.5" customHeight="1" x14ac:dyDescent="0.3">
      <c r="A567" s="48">
        <f t="shared" si="10"/>
        <v>566</v>
      </c>
      <c r="B567" s="49"/>
      <c r="C567" s="49"/>
      <c r="D567" s="49"/>
      <c r="E567" s="49"/>
    </row>
    <row r="568" spans="1:5" ht="10.5" customHeight="1" x14ac:dyDescent="0.3">
      <c r="A568" s="48">
        <f t="shared" si="10"/>
        <v>567</v>
      </c>
      <c r="B568" s="49"/>
      <c r="C568" s="49"/>
      <c r="D568" s="49"/>
      <c r="E568" s="49"/>
    </row>
    <row r="569" spans="1:5" ht="10.5" customHeight="1" x14ac:dyDescent="0.3">
      <c r="A569" s="48">
        <f t="shared" si="10"/>
        <v>568</v>
      </c>
      <c r="B569" s="49"/>
      <c r="C569" s="49"/>
      <c r="D569" s="49"/>
      <c r="E569" s="49"/>
    </row>
    <row r="570" spans="1:5" ht="10.5" customHeight="1" x14ac:dyDescent="0.3">
      <c r="A570" s="48">
        <f t="shared" si="10"/>
        <v>569</v>
      </c>
      <c r="B570" s="49"/>
      <c r="C570" s="49"/>
      <c r="D570" s="49"/>
      <c r="E570" s="49"/>
    </row>
    <row r="571" spans="1:5" ht="10.5" customHeight="1" x14ac:dyDescent="0.3">
      <c r="A571" s="48">
        <f t="shared" si="10"/>
        <v>570</v>
      </c>
      <c r="B571" s="49"/>
      <c r="C571" s="49"/>
      <c r="D571" s="49"/>
      <c r="E571" s="49"/>
    </row>
    <row r="572" spans="1:5" ht="10.5" customHeight="1" x14ac:dyDescent="0.3">
      <c r="A572" s="48">
        <f t="shared" si="10"/>
        <v>571</v>
      </c>
      <c r="B572" s="49"/>
      <c r="C572" s="49"/>
      <c r="D572" s="49"/>
      <c r="E572" s="49"/>
    </row>
    <row r="573" spans="1:5" ht="10.5" customHeight="1" x14ac:dyDescent="0.3">
      <c r="A573" s="48">
        <f t="shared" si="10"/>
        <v>572</v>
      </c>
      <c r="B573" s="49"/>
      <c r="C573" s="49"/>
      <c r="D573" s="49"/>
      <c r="E573" s="49"/>
    </row>
    <row r="574" spans="1:5" ht="10.5" customHeight="1" x14ac:dyDescent="0.3">
      <c r="A574" s="48">
        <f t="shared" si="10"/>
        <v>573</v>
      </c>
      <c r="B574" s="49"/>
      <c r="C574" s="49"/>
      <c r="D574" s="49"/>
      <c r="E574" s="49"/>
    </row>
    <row r="575" spans="1:5" ht="10.5" customHeight="1" x14ac:dyDescent="0.3">
      <c r="A575" s="48">
        <f t="shared" si="10"/>
        <v>574</v>
      </c>
      <c r="B575" s="49"/>
      <c r="C575" s="49"/>
      <c r="D575" s="49"/>
      <c r="E575" s="49"/>
    </row>
    <row r="576" spans="1:5" ht="10.5" customHeight="1" x14ac:dyDescent="0.3">
      <c r="A576" s="48">
        <f t="shared" si="10"/>
        <v>575</v>
      </c>
      <c r="B576" s="49"/>
      <c r="C576" s="49"/>
      <c r="D576" s="49"/>
      <c r="E576" s="49"/>
    </row>
    <row r="577" spans="1:5" ht="10.5" customHeight="1" x14ac:dyDescent="0.3">
      <c r="A577" s="48">
        <f t="shared" si="10"/>
        <v>576</v>
      </c>
      <c r="B577" s="49"/>
      <c r="C577" s="49"/>
      <c r="D577" s="49"/>
      <c r="E577" s="49"/>
    </row>
    <row r="578" spans="1:5" ht="10.5" customHeight="1" x14ac:dyDescent="0.3">
      <c r="A578" s="48">
        <f t="shared" si="10"/>
        <v>577</v>
      </c>
      <c r="B578" s="49"/>
      <c r="C578" s="49"/>
      <c r="D578" s="49"/>
      <c r="E578" s="49"/>
    </row>
    <row r="579" spans="1:5" ht="10.5" customHeight="1" x14ac:dyDescent="0.3">
      <c r="A579" s="48">
        <f t="shared" ref="A579:A642" si="11">A578+1</f>
        <v>578</v>
      </c>
      <c r="B579" s="49"/>
      <c r="C579" s="49"/>
      <c r="D579" s="49"/>
      <c r="E579" s="49"/>
    </row>
    <row r="580" spans="1:5" ht="10.5" customHeight="1" x14ac:dyDescent="0.3">
      <c r="A580" s="48">
        <f t="shared" si="11"/>
        <v>579</v>
      </c>
      <c r="B580" s="49"/>
      <c r="C580" s="49"/>
      <c r="D580" s="49"/>
      <c r="E580" s="49"/>
    </row>
    <row r="581" spans="1:5" ht="10.5" customHeight="1" x14ac:dyDescent="0.3">
      <c r="A581" s="48">
        <f t="shared" si="11"/>
        <v>580</v>
      </c>
      <c r="B581" s="49"/>
      <c r="C581" s="49"/>
      <c r="D581" s="49"/>
      <c r="E581" s="49"/>
    </row>
    <row r="582" spans="1:5" ht="10.5" customHeight="1" x14ac:dyDescent="0.3">
      <c r="A582" s="48">
        <f t="shared" si="11"/>
        <v>581</v>
      </c>
      <c r="B582" s="49"/>
      <c r="C582" s="49"/>
      <c r="D582" s="49"/>
      <c r="E582" s="49"/>
    </row>
    <row r="583" spans="1:5" ht="10.5" customHeight="1" x14ac:dyDescent="0.3">
      <c r="A583" s="48">
        <f t="shared" si="11"/>
        <v>582</v>
      </c>
      <c r="B583" s="49"/>
      <c r="C583" s="49"/>
      <c r="D583" s="49"/>
      <c r="E583" s="49"/>
    </row>
    <row r="584" spans="1:5" ht="10.5" customHeight="1" x14ac:dyDescent="0.3">
      <c r="A584" s="48">
        <f t="shared" si="11"/>
        <v>583</v>
      </c>
      <c r="B584" s="49"/>
      <c r="C584" s="49"/>
      <c r="D584" s="49"/>
      <c r="E584" s="49"/>
    </row>
    <row r="585" spans="1:5" ht="10.5" customHeight="1" x14ac:dyDescent="0.3">
      <c r="A585" s="48">
        <f t="shared" si="11"/>
        <v>584</v>
      </c>
      <c r="B585" s="49"/>
      <c r="C585" s="49"/>
      <c r="D585" s="49"/>
      <c r="E585" s="49"/>
    </row>
    <row r="586" spans="1:5" ht="10.5" customHeight="1" x14ac:dyDescent="0.3">
      <c r="A586" s="48">
        <f t="shared" si="11"/>
        <v>585</v>
      </c>
      <c r="B586" s="49"/>
      <c r="C586" s="49"/>
      <c r="D586" s="49"/>
      <c r="E586" s="49"/>
    </row>
    <row r="587" spans="1:5" ht="10.5" customHeight="1" x14ac:dyDescent="0.3">
      <c r="A587" s="48">
        <f t="shared" si="11"/>
        <v>586</v>
      </c>
      <c r="B587" s="49"/>
      <c r="C587" s="49"/>
      <c r="D587" s="49"/>
      <c r="E587" s="49"/>
    </row>
    <row r="588" spans="1:5" ht="10.5" customHeight="1" x14ac:dyDescent="0.3">
      <c r="A588" s="48">
        <f t="shared" si="11"/>
        <v>587</v>
      </c>
      <c r="B588" s="49"/>
      <c r="C588" s="49"/>
      <c r="D588" s="49"/>
      <c r="E588" s="49"/>
    </row>
    <row r="589" spans="1:5" ht="10.5" customHeight="1" x14ac:dyDescent="0.3">
      <c r="A589" s="48">
        <f t="shared" si="11"/>
        <v>588</v>
      </c>
      <c r="B589" s="49"/>
      <c r="C589" s="49"/>
      <c r="D589" s="49"/>
      <c r="E589" s="49"/>
    </row>
    <row r="590" spans="1:5" ht="10.5" customHeight="1" x14ac:dyDescent="0.3">
      <c r="A590" s="48">
        <f t="shared" si="11"/>
        <v>589</v>
      </c>
      <c r="B590" s="49"/>
      <c r="C590" s="49"/>
      <c r="D590" s="49"/>
      <c r="E590" s="49"/>
    </row>
    <row r="591" spans="1:5" ht="10.5" customHeight="1" x14ac:dyDescent="0.3">
      <c r="A591" s="48">
        <f t="shared" si="11"/>
        <v>590</v>
      </c>
      <c r="B591" s="49"/>
      <c r="C591" s="49"/>
      <c r="D591" s="49"/>
      <c r="E591" s="49"/>
    </row>
    <row r="592" spans="1:5" ht="10.5" customHeight="1" x14ac:dyDescent="0.3">
      <c r="A592" s="48">
        <f t="shared" si="11"/>
        <v>591</v>
      </c>
      <c r="B592" s="49"/>
      <c r="C592" s="49"/>
      <c r="D592" s="49"/>
      <c r="E592" s="49"/>
    </row>
    <row r="593" spans="1:5" ht="10.5" customHeight="1" x14ac:dyDescent="0.3">
      <c r="A593" s="48">
        <f t="shared" si="11"/>
        <v>592</v>
      </c>
      <c r="B593" s="49"/>
      <c r="C593" s="49"/>
      <c r="D593" s="49"/>
      <c r="E593" s="49"/>
    </row>
    <row r="594" spans="1:5" ht="10.5" customHeight="1" x14ac:dyDescent="0.3">
      <c r="A594" s="48">
        <f t="shared" si="11"/>
        <v>593</v>
      </c>
      <c r="B594" s="49"/>
      <c r="C594" s="49"/>
      <c r="D594" s="49"/>
      <c r="E594" s="49"/>
    </row>
    <row r="595" spans="1:5" ht="10.5" customHeight="1" x14ac:dyDescent="0.3">
      <c r="A595" s="48">
        <f t="shared" si="11"/>
        <v>594</v>
      </c>
      <c r="B595" s="49"/>
      <c r="C595" s="49"/>
      <c r="D595" s="49"/>
      <c r="E595" s="49"/>
    </row>
    <row r="596" spans="1:5" ht="10.5" customHeight="1" x14ac:dyDescent="0.3">
      <c r="A596" s="48">
        <f t="shared" si="11"/>
        <v>595</v>
      </c>
      <c r="B596" s="49"/>
      <c r="C596" s="49"/>
      <c r="D596" s="49"/>
      <c r="E596" s="49"/>
    </row>
    <row r="597" spans="1:5" ht="10.5" customHeight="1" x14ac:dyDescent="0.3">
      <c r="A597" s="48">
        <f t="shared" si="11"/>
        <v>596</v>
      </c>
      <c r="B597" s="49"/>
      <c r="C597" s="49"/>
      <c r="D597" s="49"/>
      <c r="E597" s="49"/>
    </row>
    <row r="598" spans="1:5" ht="10.5" customHeight="1" x14ac:dyDescent="0.3">
      <c r="A598" s="48">
        <f t="shared" si="11"/>
        <v>597</v>
      </c>
      <c r="B598" s="49"/>
      <c r="C598" s="49"/>
      <c r="D598" s="49"/>
      <c r="E598" s="49"/>
    </row>
    <row r="599" spans="1:5" ht="10.5" customHeight="1" x14ac:dyDescent="0.3">
      <c r="A599" s="48">
        <f t="shared" si="11"/>
        <v>598</v>
      </c>
      <c r="B599" s="50"/>
      <c r="C599" s="50"/>
      <c r="D599" s="49"/>
      <c r="E599" s="50"/>
    </row>
    <row r="600" spans="1:5" ht="10.5" customHeight="1" x14ac:dyDescent="0.3">
      <c r="A600" s="48">
        <f t="shared" si="11"/>
        <v>599</v>
      </c>
      <c r="B600" s="50"/>
      <c r="C600" s="50"/>
      <c r="D600" s="49"/>
      <c r="E600" s="50"/>
    </row>
    <row r="601" spans="1:5" ht="10.5" customHeight="1" x14ac:dyDescent="0.3">
      <c r="A601" s="48">
        <f t="shared" si="11"/>
        <v>600</v>
      </c>
      <c r="B601" s="49"/>
      <c r="C601" s="49"/>
      <c r="D601" s="49"/>
      <c r="E601" s="49"/>
    </row>
    <row r="602" spans="1:5" ht="10.5" customHeight="1" x14ac:dyDescent="0.3">
      <c r="A602" s="48">
        <f t="shared" si="11"/>
        <v>601</v>
      </c>
      <c r="B602" s="49"/>
      <c r="C602" s="49"/>
      <c r="D602" s="49"/>
      <c r="E602" s="49"/>
    </row>
    <row r="603" spans="1:5" ht="10.5" customHeight="1" x14ac:dyDescent="0.3">
      <c r="A603" s="48">
        <f t="shared" si="11"/>
        <v>602</v>
      </c>
      <c r="B603" s="49"/>
      <c r="C603" s="49"/>
      <c r="D603" s="49"/>
      <c r="E603" s="49"/>
    </row>
    <row r="604" spans="1:5" ht="10.5" customHeight="1" x14ac:dyDescent="0.3">
      <c r="A604" s="48">
        <f t="shared" si="11"/>
        <v>603</v>
      </c>
      <c r="B604" s="49"/>
      <c r="C604" s="49"/>
      <c r="D604" s="49"/>
      <c r="E604" s="49"/>
    </row>
    <row r="605" spans="1:5" ht="10.5" customHeight="1" x14ac:dyDescent="0.3">
      <c r="A605" s="48">
        <f t="shared" si="11"/>
        <v>604</v>
      </c>
      <c r="B605" s="49"/>
      <c r="C605" s="49"/>
      <c r="D605" s="49"/>
      <c r="E605" s="49"/>
    </row>
    <row r="606" spans="1:5" ht="10.5" customHeight="1" x14ac:dyDescent="0.3">
      <c r="A606" s="48">
        <f t="shared" si="11"/>
        <v>605</v>
      </c>
      <c r="B606" s="49"/>
      <c r="C606" s="49"/>
      <c r="D606" s="49"/>
      <c r="E606" s="49"/>
    </row>
    <row r="607" spans="1:5" ht="10.5" customHeight="1" x14ac:dyDescent="0.3">
      <c r="A607" s="48">
        <f t="shared" si="11"/>
        <v>606</v>
      </c>
      <c r="B607" s="49"/>
      <c r="C607" s="49"/>
      <c r="D607" s="49"/>
      <c r="E607" s="49"/>
    </row>
    <row r="608" spans="1:5" ht="10.5" customHeight="1" x14ac:dyDescent="0.3">
      <c r="A608" s="48">
        <f t="shared" si="11"/>
        <v>607</v>
      </c>
      <c r="B608" s="49"/>
      <c r="C608" s="49"/>
      <c r="D608" s="49"/>
      <c r="E608" s="49"/>
    </row>
    <row r="609" spans="1:5" ht="10.5" customHeight="1" x14ac:dyDescent="0.3">
      <c r="A609" s="48">
        <f t="shared" si="11"/>
        <v>608</v>
      </c>
      <c r="B609" s="49"/>
      <c r="C609" s="49"/>
      <c r="D609" s="49"/>
      <c r="E609" s="49"/>
    </row>
    <row r="610" spans="1:5" ht="10.5" customHeight="1" x14ac:dyDescent="0.3">
      <c r="A610" s="48">
        <f t="shared" si="11"/>
        <v>609</v>
      </c>
      <c r="B610" s="49"/>
      <c r="C610" s="49"/>
      <c r="D610" s="49"/>
      <c r="E610" s="49"/>
    </row>
    <row r="611" spans="1:5" ht="10.5" customHeight="1" x14ac:dyDescent="0.3">
      <c r="A611" s="48">
        <f t="shared" si="11"/>
        <v>610</v>
      </c>
      <c r="B611" s="49"/>
      <c r="C611" s="49"/>
      <c r="D611" s="49"/>
      <c r="E611" s="49"/>
    </row>
    <row r="612" spans="1:5" ht="10.5" customHeight="1" x14ac:dyDescent="0.3">
      <c r="A612" s="48">
        <f t="shared" si="11"/>
        <v>611</v>
      </c>
      <c r="B612" s="49"/>
      <c r="C612" s="49"/>
      <c r="D612" s="49"/>
      <c r="E612" s="49"/>
    </row>
    <row r="613" spans="1:5" ht="10.5" customHeight="1" x14ac:dyDescent="0.3">
      <c r="A613" s="48">
        <f t="shared" si="11"/>
        <v>612</v>
      </c>
      <c r="B613" s="49"/>
      <c r="C613" s="49"/>
      <c r="D613" s="49"/>
      <c r="E613" s="49"/>
    </row>
    <row r="614" spans="1:5" ht="10.5" customHeight="1" x14ac:dyDescent="0.3">
      <c r="A614" s="48">
        <f t="shared" si="11"/>
        <v>613</v>
      </c>
      <c r="B614" s="49"/>
      <c r="C614" s="49"/>
      <c r="D614" s="49"/>
      <c r="E614" s="49"/>
    </row>
    <row r="615" spans="1:5" ht="10.5" customHeight="1" x14ac:dyDescent="0.3">
      <c r="A615" s="48">
        <f t="shared" si="11"/>
        <v>614</v>
      </c>
      <c r="B615" s="49"/>
      <c r="C615" s="49"/>
      <c r="D615" s="49"/>
      <c r="E615" s="49"/>
    </row>
    <row r="616" spans="1:5" ht="10.5" customHeight="1" x14ac:dyDescent="0.3">
      <c r="A616" s="48">
        <f t="shared" si="11"/>
        <v>615</v>
      </c>
      <c r="B616" s="49"/>
      <c r="C616" s="49"/>
      <c r="D616" s="49"/>
      <c r="E616" s="49"/>
    </row>
    <row r="617" spans="1:5" ht="10.5" customHeight="1" x14ac:dyDescent="0.3">
      <c r="A617" s="48">
        <f t="shared" si="11"/>
        <v>616</v>
      </c>
      <c r="B617" s="49"/>
      <c r="C617" s="49"/>
      <c r="D617" s="49"/>
      <c r="E617" s="49"/>
    </row>
    <row r="618" spans="1:5" ht="10.5" customHeight="1" x14ac:dyDescent="0.3">
      <c r="A618" s="48">
        <f t="shared" si="11"/>
        <v>617</v>
      </c>
      <c r="B618" s="49"/>
      <c r="C618" s="49"/>
      <c r="D618" s="49"/>
      <c r="E618" s="49"/>
    </row>
    <row r="619" spans="1:5" ht="10.5" customHeight="1" x14ac:dyDescent="0.3">
      <c r="A619" s="48">
        <f t="shared" si="11"/>
        <v>618</v>
      </c>
      <c r="B619" s="49"/>
      <c r="C619" s="49"/>
      <c r="D619" s="49"/>
      <c r="E619" s="49"/>
    </row>
    <row r="620" spans="1:5" ht="10.5" customHeight="1" x14ac:dyDescent="0.3">
      <c r="A620" s="48">
        <f t="shared" si="11"/>
        <v>619</v>
      </c>
      <c r="B620" s="49"/>
      <c r="C620" s="49"/>
      <c r="D620" s="49"/>
      <c r="E620" s="49"/>
    </row>
    <row r="621" spans="1:5" ht="10.5" customHeight="1" x14ac:dyDescent="0.3">
      <c r="A621" s="48">
        <f t="shared" si="11"/>
        <v>620</v>
      </c>
      <c r="B621" s="49"/>
      <c r="C621" s="49"/>
      <c r="D621" s="49"/>
      <c r="E621" s="49"/>
    </row>
    <row r="622" spans="1:5" ht="10.5" customHeight="1" x14ac:dyDescent="0.3">
      <c r="A622" s="48">
        <f t="shared" si="11"/>
        <v>621</v>
      </c>
      <c r="B622" s="49"/>
      <c r="C622" s="49"/>
      <c r="D622" s="49"/>
      <c r="E622" s="49"/>
    </row>
    <row r="623" spans="1:5" ht="10.5" customHeight="1" x14ac:dyDescent="0.3">
      <c r="A623" s="48">
        <f t="shared" si="11"/>
        <v>622</v>
      </c>
      <c r="B623" s="49"/>
      <c r="C623" s="49"/>
      <c r="D623" s="49"/>
      <c r="E623" s="49"/>
    </row>
    <row r="624" spans="1:5" ht="10.5" customHeight="1" x14ac:dyDescent="0.3">
      <c r="A624" s="48">
        <f t="shared" si="11"/>
        <v>623</v>
      </c>
      <c r="B624" s="49"/>
      <c r="C624" s="49"/>
      <c r="D624" s="49"/>
      <c r="E624" s="49"/>
    </row>
    <row r="625" spans="1:5" ht="10.5" customHeight="1" x14ac:dyDescent="0.3">
      <c r="A625" s="48">
        <f t="shared" si="11"/>
        <v>624</v>
      </c>
      <c r="B625" s="49"/>
      <c r="C625" s="49"/>
      <c r="D625" s="49"/>
      <c r="E625" s="49"/>
    </row>
    <row r="626" spans="1:5" ht="10.5" customHeight="1" x14ac:dyDescent="0.3">
      <c r="A626" s="48">
        <f t="shared" si="11"/>
        <v>625</v>
      </c>
      <c r="B626" s="49"/>
      <c r="C626" s="49"/>
      <c r="D626" s="49"/>
      <c r="E626" s="49"/>
    </row>
    <row r="627" spans="1:5" ht="10.5" customHeight="1" x14ac:dyDescent="0.3">
      <c r="A627" s="48">
        <f t="shared" si="11"/>
        <v>626</v>
      </c>
      <c r="B627" s="49"/>
      <c r="C627" s="49"/>
      <c r="D627" s="49"/>
      <c r="E627" s="49"/>
    </row>
    <row r="628" spans="1:5" ht="10.5" customHeight="1" x14ac:dyDescent="0.3">
      <c r="A628" s="48">
        <f t="shared" si="11"/>
        <v>627</v>
      </c>
      <c r="B628" s="49"/>
      <c r="C628" s="49"/>
      <c r="D628" s="49"/>
      <c r="E628" s="49"/>
    </row>
    <row r="629" spans="1:5" ht="10.5" customHeight="1" x14ac:dyDescent="0.3">
      <c r="A629" s="48">
        <f t="shared" si="11"/>
        <v>628</v>
      </c>
      <c r="B629" s="49"/>
      <c r="C629" s="49"/>
      <c r="D629" s="49"/>
      <c r="E629" s="49"/>
    </row>
    <row r="630" spans="1:5" ht="10.5" customHeight="1" x14ac:dyDescent="0.3">
      <c r="A630" s="48">
        <f t="shared" si="11"/>
        <v>629</v>
      </c>
      <c r="B630" s="49"/>
      <c r="C630" s="49"/>
      <c r="D630" s="49"/>
      <c r="E630" s="49"/>
    </row>
    <row r="631" spans="1:5" ht="10.5" customHeight="1" x14ac:dyDescent="0.3">
      <c r="A631" s="48">
        <f t="shared" si="11"/>
        <v>630</v>
      </c>
      <c r="B631" s="49"/>
      <c r="C631" s="49"/>
      <c r="D631" s="49"/>
      <c r="E631" s="49"/>
    </row>
    <row r="632" spans="1:5" ht="10.5" customHeight="1" x14ac:dyDescent="0.3">
      <c r="A632" s="48">
        <f t="shared" si="11"/>
        <v>631</v>
      </c>
      <c r="B632" s="49"/>
      <c r="C632" s="49"/>
      <c r="D632" s="49"/>
      <c r="E632" s="49"/>
    </row>
    <row r="633" spans="1:5" ht="10.5" customHeight="1" x14ac:dyDescent="0.3">
      <c r="A633" s="48">
        <f t="shared" si="11"/>
        <v>632</v>
      </c>
      <c r="B633" s="49"/>
      <c r="C633" s="49"/>
      <c r="D633" s="49"/>
      <c r="E633" s="49"/>
    </row>
    <row r="634" spans="1:5" ht="10.5" customHeight="1" x14ac:dyDescent="0.3">
      <c r="A634" s="48">
        <f t="shared" si="11"/>
        <v>633</v>
      </c>
      <c r="B634" s="49"/>
      <c r="C634" s="49"/>
      <c r="D634" s="49"/>
      <c r="E634" s="49"/>
    </row>
    <row r="635" spans="1:5" ht="10.5" customHeight="1" x14ac:dyDescent="0.3">
      <c r="A635" s="48">
        <f t="shared" si="11"/>
        <v>634</v>
      </c>
      <c r="B635" s="49"/>
      <c r="C635" s="49"/>
      <c r="D635" s="49"/>
      <c r="E635" s="49"/>
    </row>
    <row r="636" spans="1:5" ht="10.5" customHeight="1" x14ac:dyDescent="0.3">
      <c r="A636" s="48">
        <f t="shared" si="11"/>
        <v>635</v>
      </c>
      <c r="B636" s="49"/>
      <c r="C636" s="49"/>
      <c r="D636" s="49"/>
      <c r="E636" s="49"/>
    </row>
    <row r="637" spans="1:5" ht="10.5" customHeight="1" x14ac:dyDescent="0.3">
      <c r="A637" s="48">
        <f t="shared" si="11"/>
        <v>636</v>
      </c>
      <c r="B637" s="49"/>
      <c r="C637" s="49"/>
      <c r="D637" s="49"/>
      <c r="E637" s="49"/>
    </row>
    <row r="638" spans="1:5" ht="10.5" customHeight="1" x14ac:dyDescent="0.3">
      <c r="A638" s="48">
        <f t="shared" si="11"/>
        <v>637</v>
      </c>
      <c r="B638" s="49"/>
      <c r="C638" s="49"/>
      <c r="D638" s="49"/>
      <c r="E638" s="49"/>
    </row>
    <row r="639" spans="1:5" ht="10.5" customHeight="1" x14ac:dyDescent="0.3">
      <c r="A639" s="48">
        <f t="shared" si="11"/>
        <v>638</v>
      </c>
      <c r="B639" s="49"/>
      <c r="C639" s="49"/>
      <c r="D639" s="49"/>
      <c r="E639" s="49"/>
    </row>
    <row r="640" spans="1:5" ht="10.5" customHeight="1" x14ac:dyDescent="0.3">
      <c r="A640" s="48">
        <f t="shared" si="11"/>
        <v>639</v>
      </c>
      <c r="B640" s="49"/>
      <c r="C640" s="49"/>
      <c r="D640" s="49"/>
      <c r="E640" s="49"/>
    </row>
    <row r="641" spans="1:5" ht="10.5" customHeight="1" x14ac:dyDescent="0.3">
      <c r="A641" s="48">
        <f t="shared" si="11"/>
        <v>640</v>
      </c>
      <c r="B641" s="49"/>
      <c r="C641" s="49"/>
      <c r="D641" s="49"/>
      <c r="E641" s="49"/>
    </row>
    <row r="642" spans="1:5" ht="10.5" customHeight="1" x14ac:dyDescent="0.3">
      <c r="A642" s="48">
        <f t="shared" si="11"/>
        <v>641</v>
      </c>
      <c r="B642" s="49"/>
      <c r="C642" s="49"/>
      <c r="D642" s="49"/>
      <c r="E642" s="49"/>
    </row>
    <row r="643" spans="1:5" ht="10.5" customHeight="1" x14ac:dyDescent="0.3">
      <c r="A643" s="48">
        <f t="shared" ref="A643:A706" si="12">A642+1</f>
        <v>642</v>
      </c>
      <c r="B643" s="49"/>
      <c r="C643" s="49"/>
      <c r="D643" s="49"/>
      <c r="E643" s="49"/>
    </row>
    <row r="644" spans="1:5" ht="10.5" customHeight="1" x14ac:dyDescent="0.3">
      <c r="A644" s="48">
        <f t="shared" si="12"/>
        <v>643</v>
      </c>
      <c r="B644" s="49"/>
      <c r="C644" s="49"/>
      <c r="D644" s="49"/>
      <c r="E644" s="49"/>
    </row>
    <row r="645" spans="1:5" ht="10.5" customHeight="1" x14ac:dyDescent="0.3">
      <c r="A645" s="48">
        <f t="shared" si="12"/>
        <v>644</v>
      </c>
      <c r="B645" s="49"/>
      <c r="C645" s="49"/>
      <c r="D645" s="49"/>
      <c r="E645" s="49"/>
    </row>
    <row r="646" spans="1:5" ht="10.5" customHeight="1" x14ac:dyDescent="0.3">
      <c r="A646" s="48">
        <f t="shared" si="12"/>
        <v>645</v>
      </c>
      <c r="B646" s="49"/>
      <c r="C646" s="49"/>
      <c r="D646" s="49"/>
      <c r="E646" s="49"/>
    </row>
    <row r="647" spans="1:5" ht="10.5" customHeight="1" x14ac:dyDescent="0.3">
      <c r="A647" s="48">
        <f t="shared" si="12"/>
        <v>646</v>
      </c>
      <c r="B647" s="49"/>
      <c r="C647" s="49"/>
      <c r="D647" s="49"/>
      <c r="E647" s="49"/>
    </row>
    <row r="648" spans="1:5" ht="10.5" customHeight="1" x14ac:dyDescent="0.3">
      <c r="A648" s="48">
        <f t="shared" si="12"/>
        <v>647</v>
      </c>
      <c r="B648" s="49"/>
      <c r="C648" s="49"/>
      <c r="D648" s="49"/>
      <c r="E648" s="49"/>
    </row>
    <row r="649" spans="1:5" ht="10.5" customHeight="1" x14ac:dyDescent="0.3">
      <c r="A649" s="48">
        <f t="shared" si="12"/>
        <v>648</v>
      </c>
      <c r="B649" s="49"/>
      <c r="C649" s="49"/>
      <c r="D649" s="49"/>
      <c r="E649" s="49"/>
    </row>
    <row r="650" spans="1:5" ht="10.5" customHeight="1" x14ac:dyDescent="0.3">
      <c r="A650" s="48">
        <f t="shared" si="12"/>
        <v>649</v>
      </c>
      <c r="B650" s="49"/>
      <c r="C650" s="49"/>
      <c r="D650" s="49"/>
      <c r="E650" s="49"/>
    </row>
    <row r="651" spans="1:5" ht="10.5" customHeight="1" x14ac:dyDescent="0.3">
      <c r="A651" s="48">
        <f t="shared" si="12"/>
        <v>650</v>
      </c>
      <c r="B651" s="49"/>
      <c r="C651" s="49"/>
      <c r="D651" s="49"/>
      <c r="E651" s="49"/>
    </row>
    <row r="652" spans="1:5" ht="10.5" customHeight="1" x14ac:dyDescent="0.3">
      <c r="A652" s="48">
        <f t="shared" si="12"/>
        <v>651</v>
      </c>
      <c r="B652" s="49"/>
      <c r="C652" s="49"/>
      <c r="D652" s="49"/>
      <c r="E652" s="49"/>
    </row>
    <row r="653" spans="1:5" ht="10.5" customHeight="1" x14ac:dyDescent="0.3">
      <c r="A653" s="48">
        <f t="shared" si="12"/>
        <v>652</v>
      </c>
      <c r="B653" s="49"/>
      <c r="C653" s="49"/>
      <c r="D653" s="49"/>
      <c r="E653" s="49"/>
    </row>
    <row r="654" spans="1:5" ht="10.5" customHeight="1" x14ac:dyDescent="0.3">
      <c r="A654" s="48">
        <f t="shared" si="12"/>
        <v>653</v>
      </c>
      <c r="B654" s="49"/>
      <c r="C654" s="49"/>
      <c r="D654" s="49"/>
      <c r="E654" s="49"/>
    </row>
    <row r="655" spans="1:5" ht="10.5" customHeight="1" x14ac:dyDescent="0.3">
      <c r="A655" s="48">
        <f t="shared" si="12"/>
        <v>654</v>
      </c>
      <c r="B655" s="49"/>
      <c r="C655" s="49"/>
      <c r="D655" s="49"/>
      <c r="E655" s="49"/>
    </row>
    <row r="656" spans="1:5" ht="10.5" customHeight="1" x14ac:dyDescent="0.3">
      <c r="A656" s="48">
        <f t="shared" si="12"/>
        <v>655</v>
      </c>
      <c r="B656" s="49"/>
      <c r="C656" s="49"/>
      <c r="D656" s="49"/>
      <c r="E656" s="49"/>
    </row>
    <row r="657" spans="1:5" ht="10.5" customHeight="1" x14ac:dyDescent="0.3">
      <c r="A657" s="48">
        <f t="shared" si="12"/>
        <v>656</v>
      </c>
      <c r="B657" s="49"/>
      <c r="C657" s="49"/>
      <c r="D657" s="49"/>
      <c r="E657" s="49"/>
    </row>
    <row r="658" spans="1:5" ht="10.5" customHeight="1" x14ac:dyDescent="0.3">
      <c r="A658" s="48">
        <f t="shared" si="12"/>
        <v>657</v>
      </c>
      <c r="B658" s="49"/>
      <c r="C658" s="49"/>
      <c r="D658" s="49"/>
      <c r="E658" s="49"/>
    </row>
    <row r="659" spans="1:5" ht="10.5" customHeight="1" x14ac:dyDescent="0.3">
      <c r="A659" s="48">
        <f t="shared" si="12"/>
        <v>658</v>
      </c>
      <c r="B659" s="49"/>
      <c r="C659" s="49"/>
      <c r="D659" s="49"/>
      <c r="E659" s="49"/>
    </row>
    <row r="660" spans="1:5" ht="10.5" customHeight="1" x14ac:dyDescent="0.3">
      <c r="A660" s="48">
        <f t="shared" si="12"/>
        <v>659</v>
      </c>
      <c r="B660" s="49"/>
      <c r="C660" s="49"/>
      <c r="D660" s="49"/>
      <c r="E660" s="49"/>
    </row>
    <row r="661" spans="1:5" ht="10.5" customHeight="1" x14ac:dyDescent="0.3">
      <c r="A661" s="48">
        <f t="shared" si="12"/>
        <v>660</v>
      </c>
      <c r="B661" s="49"/>
      <c r="C661" s="49"/>
      <c r="D661" s="49"/>
      <c r="E661" s="49"/>
    </row>
    <row r="662" spans="1:5" ht="10.5" customHeight="1" x14ac:dyDescent="0.3">
      <c r="A662" s="48">
        <f t="shared" si="12"/>
        <v>661</v>
      </c>
      <c r="B662" s="49"/>
      <c r="C662" s="49"/>
      <c r="D662" s="49"/>
      <c r="E662" s="49"/>
    </row>
    <row r="663" spans="1:5" ht="10.5" customHeight="1" x14ac:dyDescent="0.3">
      <c r="A663" s="48">
        <f t="shared" si="12"/>
        <v>662</v>
      </c>
      <c r="B663" s="49"/>
      <c r="C663" s="49"/>
      <c r="D663" s="49"/>
      <c r="E663" s="49"/>
    </row>
    <row r="664" spans="1:5" ht="10.5" customHeight="1" x14ac:dyDescent="0.3">
      <c r="A664" s="48">
        <f t="shared" si="12"/>
        <v>663</v>
      </c>
      <c r="B664" s="49"/>
      <c r="C664" s="49"/>
      <c r="D664" s="49"/>
      <c r="E664" s="49"/>
    </row>
    <row r="665" spans="1:5" ht="10.5" customHeight="1" x14ac:dyDescent="0.3">
      <c r="A665" s="48">
        <f t="shared" si="12"/>
        <v>664</v>
      </c>
      <c r="B665" s="49"/>
      <c r="C665" s="49"/>
      <c r="D665" s="49"/>
      <c r="E665" s="49"/>
    </row>
    <row r="666" spans="1:5" ht="10.5" customHeight="1" x14ac:dyDescent="0.3">
      <c r="A666" s="48">
        <f t="shared" si="12"/>
        <v>665</v>
      </c>
      <c r="B666" s="49"/>
      <c r="C666" s="49"/>
      <c r="D666" s="49"/>
      <c r="E666" s="49"/>
    </row>
    <row r="667" spans="1:5" ht="10.5" customHeight="1" x14ac:dyDescent="0.3">
      <c r="A667" s="48">
        <f t="shared" si="12"/>
        <v>666</v>
      </c>
      <c r="B667" s="49"/>
      <c r="C667" s="49"/>
      <c r="D667" s="49"/>
      <c r="E667" s="49"/>
    </row>
    <row r="668" spans="1:5" ht="10.5" customHeight="1" x14ac:dyDescent="0.3">
      <c r="A668" s="48">
        <f t="shared" si="12"/>
        <v>667</v>
      </c>
      <c r="B668" s="49"/>
      <c r="C668" s="49"/>
      <c r="D668" s="49"/>
      <c r="E668" s="49"/>
    </row>
    <row r="669" spans="1:5" ht="10.5" customHeight="1" x14ac:dyDescent="0.3">
      <c r="A669" s="48">
        <f t="shared" si="12"/>
        <v>668</v>
      </c>
      <c r="B669" s="49"/>
      <c r="C669" s="49"/>
      <c r="D669" s="49"/>
      <c r="E669" s="49"/>
    </row>
    <row r="670" spans="1:5" ht="10.5" customHeight="1" x14ac:dyDescent="0.3">
      <c r="A670" s="48">
        <f t="shared" si="12"/>
        <v>669</v>
      </c>
      <c r="B670" s="49"/>
      <c r="C670" s="49"/>
      <c r="D670" s="49"/>
      <c r="E670" s="49"/>
    </row>
    <row r="671" spans="1:5" ht="10.5" customHeight="1" x14ac:dyDescent="0.3">
      <c r="A671" s="48">
        <f t="shared" si="12"/>
        <v>670</v>
      </c>
      <c r="B671" s="49"/>
      <c r="C671" s="49"/>
      <c r="D671" s="49"/>
      <c r="E671" s="49"/>
    </row>
    <row r="672" spans="1:5" ht="10.5" customHeight="1" x14ac:dyDescent="0.3">
      <c r="A672" s="48">
        <f t="shared" si="12"/>
        <v>671</v>
      </c>
      <c r="B672" s="49"/>
      <c r="C672" s="49"/>
      <c r="D672" s="49"/>
      <c r="E672" s="49"/>
    </row>
    <row r="673" spans="1:5" ht="10.5" customHeight="1" x14ac:dyDescent="0.3">
      <c r="A673" s="48">
        <f t="shared" si="12"/>
        <v>672</v>
      </c>
      <c r="B673" s="49"/>
      <c r="C673" s="49"/>
      <c r="D673" s="49"/>
      <c r="E673" s="49"/>
    </row>
    <row r="674" spans="1:5" ht="10.5" customHeight="1" x14ac:dyDescent="0.3">
      <c r="A674" s="48">
        <f t="shared" si="12"/>
        <v>673</v>
      </c>
      <c r="B674" s="49"/>
      <c r="C674" s="49"/>
      <c r="D674" s="49"/>
      <c r="E674" s="49"/>
    </row>
    <row r="675" spans="1:5" ht="10.5" customHeight="1" x14ac:dyDescent="0.3">
      <c r="A675" s="48">
        <f t="shared" si="12"/>
        <v>674</v>
      </c>
      <c r="B675" s="49"/>
      <c r="C675" s="49"/>
      <c r="D675" s="49"/>
      <c r="E675" s="49"/>
    </row>
    <row r="676" spans="1:5" ht="10.5" customHeight="1" x14ac:dyDescent="0.3">
      <c r="A676" s="48">
        <f t="shared" si="12"/>
        <v>675</v>
      </c>
      <c r="B676" s="49"/>
      <c r="C676" s="49"/>
      <c r="D676" s="49"/>
      <c r="E676" s="49"/>
    </row>
    <row r="677" spans="1:5" ht="10.5" customHeight="1" x14ac:dyDescent="0.3">
      <c r="A677" s="48">
        <f t="shared" si="12"/>
        <v>676</v>
      </c>
      <c r="B677" s="49"/>
      <c r="C677" s="49"/>
      <c r="D677" s="49"/>
      <c r="E677" s="49"/>
    </row>
    <row r="678" spans="1:5" ht="10.5" customHeight="1" x14ac:dyDescent="0.3">
      <c r="A678" s="48">
        <f t="shared" si="12"/>
        <v>677</v>
      </c>
      <c r="B678" s="49"/>
      <c r="C678" s="49"/>
      <c r="D678" s="49"/>
      <c r="E678" s="49"/>
    </row>
    <row r="679" spans="1:5" ht="10.5" customHeight="1" x14ac:dyDescent="0.3">
      <c r="A679" s="48">
        <f t="shared" si="12"/>
        <v>678</v>
      </c>
      <c r="B679" s="49"/>
      <c r="C679" s="49"/>
      <c r="D679" s="49"/>
      <c r="E679" s="49"/>
    </row>
    <row r="680" spans="1:5" ht="10.5" customHeight="1" x14ac:dyDescent="0.3">
      <c r="A680" s="48">
        <f t="shared" si="12"/>
        <v>679</v>
      </c>
      <c r="B680" s="49"/>
      <c r="C680" s="49"/>
      <c r="D680" s="49"/>
      <c r="E680" s="49"/>
    </row>
    <row r="681" spans="1:5" ht="10.5" customHeight="1" x14ac:dyDescent="0.3">
      <c r="A681" s="48">
        <f t="shared" si="12"/>
        <v>680</v>
      </c>
      <c r="B681" s="49"/>
      <c r="C681" s="49"/>
      <c r="D681" s="49"/>
      <c r="E681" s="49"/>
    </row>
    <row r="682" spans="1:5" ht="10.5" customHeight="1" x14ac:dyDescent="0.3">
      <c r="A682" s="48">
        <f t="shared" si="12"/>
        <v>681</v>
      </c>
      <c r="B682" s="49"/>
      <c r="C682" s="49"/>
      <c r="D682" s="49"/>
      <c r="E682" s="49"/>
    </row>
    <row r="683" spans="1:5" ht="10.5" customHeight="1" x14ac:dyDescent="0.3">
      <c r="A683" s="48">
        <f t="shared" si="12"/>
        <v>682</v>
      </c>
      <c r="B683" s="49"/>
      <c r="C683" s="49"/>
      <c r="D683" s="49"/>
      <c r="E683" s="49"/>
    </row>
    <row r="684" spans="1:5" ht="10.5" customHeight="1" x14ac:dyDescent="0.3">
      <c r="A684" s="48">
        <f t="shared" si="12"/>
        <v>683</v>
      </c>
      <c r="B684" s="49"/>
      <c r="C684" s="49"/>
      <c r="D684" s="49"/>
      <c r="E684" s="49"/>
    </row>
    <row r="685" spans="1:5" ht="10.5" customHeight="1" x14ac:dyDescent="0.3">
      <c r="A685" s="48">
        <f t="shared" si="12"/>
        <v>684</v>
      </c>
      <c r="B685" s="49"/>
      <c r="C685" s="49"/>
      <c r="D685" s="49"/>
      <c r="E685" s="49"/>
    </row>
    <row r="686" spans="1:5" ht="10.5" customHeight="1" x14ac:dyDescent="0.3">
      <c r="A686" s="48">
        <f t="shared" si="12"/>
        <v>685</v>
      </c>
      <c r="B686" s="49"/>
      <c r="C686" s="49"/>
      <c r="D686" s="49"/>
      <c r="E686" s="49"/>
    </row>
    <row r="687" spans="1:5" ht="10.5" customHeight="1" x14ac:dyDescent="0.3">
      <c r="A687" s="48">
        <f t="shared" si="12"/>
        <v>686</v>
      </c>
      <c r="B687" s="49"/>
      <c r="C687" s="49"/>
      <c r="D687" s="49"/>
      <c r="E687" s="49"/>
    </row>
    <row r="688" spans="1:5" ht="10.5" customHeight="1" x14ac:dyDescent="0.3">
      <c r="A688" s="48">
        <f t="shared" si="12"/>
        <v>687</v>
      </c>
      <c r="B688" s="49"/>
      <c r="C688" s="49"/>
      <c r="D688" s="49"/>
      <c r="E688" s="49"/>
    </row>
    <row r="689" spans="1:5" ht="10.5" customHeight="1" x14ac:dyDescent="0.3">
      <c r="A689" s="48">
        <f t="shared" si="12"/>
        <v>688</v>
      </c>
      <c r="B689" s="49"/>
      <c r="C689" s="49"/>
      <c r="D689" s="49"/>
      <c r="E689" s="49"/>
    </row>
    <row r="690" spans="1:5" ht="10.5" customHeight="1" x14ac:dyDescent="0.3">
      <c r="A690" s="48">
        <f t="shared" si="12"/>
        <v>689</v>
      </c>
      <c r="B690" s="49"/>
      <c r="C690" s="49"/>
      <c r="D690" s="49"/>
      <c r="E690" s="49"/>
    </row>
    <row r="691" spans="1:5" ht="10.5" customHeight="1" x14ac:dyDescent="0.3">
      <c r="A691" s="48">
        <f t="shared" si="12"/>
        <v>690</v>
      </c>
      <c r="B691" s="49"/>
      <c r="C691" s="49"/>
      <c r="D691" s="49"/>
      <c r="E691" s="49"/>
    </row>
    <row r="692" spans="1:5" ht="10.5" customHeight="1" x14ac:dyDescent="0.3">
      <c r="A692" s="48">
        <f t="shared" si="12"/>
        <v>691</v>
      </c>
      <c r="B692" s="49"/>
      <c r="C692" s="49"/>
      <c r="D692" s="49"/>
      <c r="E692" s="49"/>
    </row>
    <row r="693" spans="1:5" ht="10.5" customHeight="1" x14ac:dyDescent="0.3">
      <c r="A693" s="48">
        <f t="shared" si="12"/>
        <v>692</v>
      </c>
      <c r="B693" s="49"/>
      <c r="C693" s="49"/>
      <c r="D693" s="49"/>
      <c r="E693" s="49"/>
    </row>
    <row r="694" spans="1:5" ht="10.5" customHeight="1" x14ac:dyDescent="0.3">
      <c r="A694" s="48">
        <f t="shared" si="12"/>
        <v>693</v>
      </c>
      <c r="B694" s="49"/>
      <c r="C694" s="49"/>
      <c r="D694" s="49"/>
      <c r="E694" s="49"/>
    </row>
    <row r="695" spans="1:5" ht="10.5" customHeight="1" x14ac:dyDescent="0.3">
      <c r="A695" s="48">
        <f t="shared" si="12"/>
        <v>694</v>
      </c>
      <c r="B695" s="49"/>
      <c r="C695" s="49"/>
      <c r="D695" s="49"/>
      <c r="E695" s="49"/>
    </row>
    <row r="696" spans="1:5" ht="10.5" customHeight="1" x14ac:dyDescent="0.3">
      <c r="A696" s="48">
        <f t="shared" si="12"/>
        <v>695</v>
      </c>
      <c r="B696" s="49"/>
      <c r="C696" s="49"/>
      <c r="D696" s="49"/>
      <c r="E696" s="49"/>
    </row>
    <row r="697" spans="1:5" ht="10.5" customHeight="1" x14ac:dyDescent="0.3">
      <c r="A697" s="48">
        <f t="shared" si="12"/>
        <v>696</v>
      </c>
      <c r="B697" s="49"/>
      <c r="C697" s="49"/>
      <c r="D697" s="49"/>
      <c r="E697" s="49"/>
    </row>
    <row r="698" spans="1:5" ht="10.5" customHeight="1" x14ac:dyDescent="0.3">
      <c r="A698" s="48">
        <f t="shared" si="12"/>
        <v>697</v>
      </c>
      <c r="B698" s="49"/>
      <c r="C698" s="49"/>
      <c r="D698" s="49"/>
      <c r="E698" s="49"/>
    </row>
    <row r="699" spans="1:5" ht="10.5" customHeight="1" x14ac:dyDescent="0.3">
      <c r="A699" s="48">
        <f t="shared" si="12"/>
        <v>698</v>
      </c>
      <c r="B699" s="49"/>
      <c r="C699" s="49"/>
      <c r="D699" s="49"/>
      <c r="E699" s="49"/>
    </row>
    <row r="700" spans="1:5" ht="10.5" customHeight="1" x14ac:dyDescent="0.3">
      <c r="A700" s="48">
        <f t="shared" si="12"/>
        <v>699</v>
      </c>
      <c r="B700" s="49"/>
      <c r="C700" s="49"/>
      <c r="D700" s="49"/>
      <c r="E700" s="49"/>
    </row>
    <row r="701" spans="1:5" ht="10.5" customHeight="1" x14ac:dyDescent="0.3">
      <c r="A701" s="48">
        <f t="shared" si="12"/>
        <v>700</v>
      </c>
      <c r="B701" s="49"/>
      <c r="C701" s="49"/>
      <c r="D701" s="49"/>
      <c r="E701" s="49"/>
    </row>
    <row r="702" spans="1:5" ht="10.5" customHeight="1" x14ac:dyDescent="0.3">
      <c r="A702" s="48">
        <f t="shared" si="12"/>
        <v>701</v>
      </c>
      <c r="B702" s="49"/>
      <c r="C702" s="49"/>
      <c r="D702" s="49"/>
      <c r="E702" s="49"/>
    </row>
    <row r="703" spans="1:5" ht="10.5" customHeight="1" x14ac:dyDescent="0.3">
      <c r="A703" s="48">
        <f t="shared" si="12"/>
        <v>702</v>
      </c>
      <c r="B703" s="49"/>
      <c r="C703" s="49"/>
      <c r="D703" s="49"/>
      <c r="E703" s="49"/>
    </row>
    <row r="704" spans="1:5" ht="10.5" customHeight="1" x14ac:dyDescent="0.3">
      <c r="A704" s="48">
        <f t="shared" si="12"/>
        <v>703</v>
      </c>
      <c r="B704" s="49"/>
      <c r="C704" s="49"/>
      <c r="D704" s="49"/>
      <c r="E704" s="49"/>
    </row>
    <row r="705" spans="1:5" ht="10.5" customHeight="1" x14ac:dyDescent="0.3">
      <c r="A705" s="48">
        <f t="shared" si="12"/>
        <v>704</v>
      </c>
      <c r="B705" s="49"/>
      <c r="C705" s="49"/>
      <c r="D705" s="49"/>
      <c r="E705" s="49"/>
    </row>
    <row r="706" spans="1:5" ht="10.5" customHeight="1" x14ac:dyDescent="0.3">
      <c r="A706" s="48">
        <f t="shared" si="12"/>
        <v>705</v>
      </c>
      <c r="B706" s="49"/>
      <c r="C706" s="49"/>
      <c r="D706" s="49"/>
      <c r="E706" s="49"/>
    </row>
    <row r="707" spans="1:5" ht="10.5" customHeight="1" x14ac:dyDescent="0.3">
      <c r="A707" s="48">
        <f t="shared" ref="A707:A770" si="13">A706+1</f>
        <v>706</v>
      </c>
      <c r="B707" s="49"/>
      <c r="C707" s="49"/>
      <c r="D707" s="49"/>
      <c r="E707" s="49"/>
    </row>
    <row r="708" spans="1:5" ht="10.5" customHeight="1" x14ac:dyDescent="0.3">
      <c r="A708" s="48">
        <f t="shared" si="13"/>
        <v>707</v>
      </c>
      <c r="B708" s="49"/>
      <c r="C708" s="49"/>
      <c r="D708" s="49"/>
      <c r="E708" s="49"/>
    </row>
    <row r="709" spans="1:5" ht="10.5" customHeight="1" x14ac:dyDescent="0.3">
      <c r="A709" s="48">
        <f t="shared" si="13"/>
        <v>708</v>
      </c>
      <c r="B709" s="49"/>
      <c r="C709" s="49"/>
      <c r="D709" s="49"/>
      <c r="E709" s="49"/>
    </row>
    <row r="710" spans="1:5" ht="10.5" customHeight="1" x14ac:dyDescent="0.3">
      <c r="A710" s="48">
        <f t="shared" si="13"/>
        <v>709</v>
      </c>
      <c r="B710" s="49"/>
      <c r="C710" s="49"/>
      <c r="D710" s="49"/>
      <c r="E710" s="49"/>
    </row>
    <row r="711" spans="1:5" ht="10.5" customHeight="1" x14ac:dyDescent="0.3">
      <c r="A711" s="48">
        <f t="shared" si="13"/>
        <v>710</v>
      </c>
      <c r="B711" s="49"/>
      <c r="C711" s="49"/>
      <c r="D711" s="49"/>
      <c r="E711" s="49"/>
    </row>
    <row r="712" spans="1:5" ht="10.5" customHeight="1" x14ac:dyDescent="0.3">
      <c r="A712" s="48">
        <f t="shared" si="13"/>
        <v>711</v>
      </c>
      <c r="B712" s="49"/>
      <c r="C712" s="49"/>
      <c r="D712" s="49"/>
      <c r="E712" s="49"/>
    </row>
    <row r="713" spans="1:5" ht="10.5" customHeight="1" x14ac:dyDescent="0.3">
      <c r="A713" s="48">
        <f t="shared" si="13"/>
        <v>712</v>
      </c>
      <c r="B713" s="49"/>
      <c r="C713" s="49"/>
      <c r="D713" s="49"/>
      <c r="E713" s="49"/>
    </row>
    <row r="714" spans="1:5" ht="10.5" customHeight="1" x14ac:dyDescent="0.3">
      <c r="A714" s="48">
        <f t="shared" si="13"/>
        <v>713</v>
      </c>
      <c r="B714" s="49"/>
      <c r="C714" s="49"/>
      <c r="D714" s="49"/>
      <c r="E714" s="49"/>
    </row>
    <row r="715" spans="1:5" ht="10.5" customHeight="1" x14ac:dyDescent="0.3">
      <c r="A715" s="48">
        <f t="shared" si="13"/>
        <v>714</v>
      </c>
      <c r="B715" s="49"/>
      <c r="C715" s="49"/>
      <c r="D715" s="49"/>
      <c r="E715" s="49"/>
    </row>
    <row r="716" spans="1:5" ht="10.5" customHeight="1" x14ac:dyDescent="0.3">
      <c r="A716" s="48">
        <f t="shared" si="13"/>
        <v>715</v>
      </c>
      <c r="B716" s="49"/>
      <c r="C716" s="49"/>
      <c r="D716" s="49"/>
      <c r="E716" s="49"/>
    </row>
    <row r="717" spans="1:5" ht="10.5" customHeight="1" x14ac:dyDescent="0.3">
      <c r="A717" s="48">
        <f t="shared" si="13"/>
        <v>716</v>
      </c>
      <c r="B717" s="49"/>
      <c r="C717" s="49"/>
      <c r="D717" s="49"/>
      <c r="E717" s="49"/>
    </row>
    <row r="718" spans="1:5" ht="10.5" customHeight="1" x14ac:dyDescent="0.3">
      <c r="A718" s="48">
        <f t="shared" si="13"/>
        <v>717</v>
      </c>
      <c r="B718" s="49"/>
      <c r="C718" s="49"/>
      <c r="D718" s="49"/>
      <c r="E718" s="49"/>
    </row>
    <row r="719" spans="1:5" ht="10.5" customHeight="1" x14ac:dyDescent="0.3">
      <c r="A719" s="48">
        <f t="shared" si="13"/>
        <v>718</v>
      </c>
      <c r="B719" s="49"/>
      <c r="C719" s="49"/>
      <c r="D719" s="49"/>
      <c r="E719" s="49"/>
    </row>
    <row r="720" spans="1:5" ht="10.5" customHeight="1" x14ac:dyDescent="0.3">
      <c r="A720" s="48">
        <f t="shared" si="13"/>
        <v>719</v>
      </c>
      <c r="B720" s="49"/>
      <c r="C720" s="49"/>
      <c r="D720" s="49"/>
      <c r="E720" s="49"/>
    </row>
    <row r="721" spans="1:5" ht="10.5" customHeight="1" x14ac:dyDescent="0.3">
      <c r="A721" s="48">
        <f t="shared" si="13"/>
        <v>720</v>
      </c>
      <c r="B721" s="49"/>
      <c r="C721" s="49"/>
      <c r="D721" s="49"/>
      <c r="E721" s="49"/>
    </row>
    <row r="722" spans="1:5" ht="10.5" customHeight="1" x14ac:dyDescent="0.3">
      <c r="A722" s="48">
        <f t="shared" si="13"/>
        <v>721</v>
      </c>
      <c r="B722" s="49"/>
      <c r="C722" s="49"/>
      <c r="D722" s="49"/>
      <c r="E722" s="49"/>
    </row>
    <row r="723" spans="1:5" ht="10.5" customHeight="1" x14ac:dyDescent="0.3">
      <c r="A723" s="48">
        <f t="shared" si="13"/>
        <v>722</v>
      </c>
      <c r="B723" s="49"/>
      <c r="C723" s="49"/>
      <c r="D723" s="49"/>
      <c r="E723" s="49"/>
    </row>
    <row r="724" spans="1:5" ht="10.5" customHeight="1" x14ac:dyDescent="0.3">
      <c r="A724" s="48">
        <f t="shared" si="13"/>
        <v>723</v>
      </c>
      <c r="B724" s="49"/>
      <c r="C724" s="49"/>
      <c r="D724" s="49"/>
      <c r="E724" s="49"/>
    </row>
    <row r="725" spans="1:5" ht="10.5" customHeight="1" x14ac:dyDescent="0.3">
      <c r="A725" s="48">
        <f t="shared" si="13"/>
        <v>724</v>
      </c>
      <c r="B725" s="49"/>
      <c r="C725" s="49"/>
      <c r="D725" s="49"/>
      <c r="E725" s="49"/>
    </row>
    <row r="726" spans="1:5" ht="10.5" customHeight="1" x14ac:dyDescent="0.3">
      <c r="A726" s="48">
        <f t="shared" si="13"/>
        <v>725</v>
      </c>
      <c r="B726" s="49"/>
      <c r="C726" s="49"/>
      <c r="D726" s="49"/>
      <c r="E726" s="49"/>
    </row>
    <row r="727" spans="1:5" ht="10.5" customHeight="1" x14ac:dyDescent="0.3">
      <c r="A727" s="48">
        <f t="shared" si="13"/>
        <v>726</v>
      </c>
      <c r="B727" s="49"/>
      <c r="C727" s="49"/>
      <c r="D727" s="49"/>
      <c r="E727" s="49"/>
    </row>
    <row r="728" spans="1:5" ht="10.5" customHeight="1" x14ac:dyDescent="0.3">
      <c r="A728" s="48">
        <f t="shared" si="13"/>
        <v>727</v>
      </c>
      <c r="B728" s="49"/>
      <c r="C728" s="49"/>
      <c r="D728" s="49"/>
      <c r="E728" s="49"/>
    </row>
    <row r="729" spans="1:5" ht="10.5" customHeight="1" x14ac:dyDescent="0.3">
      <c r="A729" s="48">
        <f t="shared" si="13"/>
        <v>728</v>
      </c>
      <c r="B729" s="49"/>
      <c r="C729" s="49"/>
      <c r="D729" s="49"/>
      <c r="E729" s="49"/>
    </row>
    <row r="730" spans="1:5" ht="10.5" customHeight="1" x14ac:dyDescent="0.3">
      <c r="A730" s="48">
        <f t="shared" si="13"/>
        <v>729</v>
      </c>
      <c r="B730" s="49"/>
      <c r="C730" s="49"/>
      <c r="D730" s="49"/>
      <c r="E730" s="49"/>
    </row>
    <row r="731" spans="1:5" ht="10.5" customHeight="1" x14ac:dyDescent="0.3">
      <c r="A731" s="48">
        <f t="shared" si="13"/>
        <v>730</v>
      </c>
      <c r="B731" s="49"/>
      <c r="C731" s="49"/>
      <c r="D731" s="49"/>
      <c r="E731" s="49"/>
    </row>
    <row r="732" spans="1:5" ht="10.5" customHeight="1" x14ac:dyDescent="0.3">
      <c r="A732" s="48">
        <f t="shared" si="13"/>
        <v>731</v>
      </c>
      <c r="B732" s="49"/>
      <c r="C732" s="49"/>
      <c r="D732" s="49"/>
      <c r="E732" s="49"/>
    </row>
    <row r="733" spans="1:5" ht="10.5" customHeight="1" x14ac:dyDescent="0.3">
      <c r="A733" s="48">
        <f t="shared" si="13"/>
        <v>732</v>
      </c>
      <c r="B733" s="49"/>
      <c r="C733" s="49"/>
      <c r="D733" s="49"/>
      <c r="E733" s="49"/>
    </row>
    <row r="734" spans="1:5" ht="10.5" customHeight="1" x14ac:dyDescent="0.3">
      <c r="A734" s="48">
        <f t="shared" si="13"/>
        <v>733</v>
      </c>
      <c r="B734" s="49"/>
      <c r="C734" s="49"/>
      <c r="D734" s="49"/>
      <c r="E734" s="49"/>
    </row>
    <row r="735" spans="1:5" ht="10.5" customHeight="1" x14ac:dyDescent="0.3">
      <c r="A735" s="48">
        <f t="shared" si="13"/>
        <v>734</v>
      </c>
      <c r="B735" s="49"/>
      <c r="C735" s="49"/>
      <c r="D735" s="49"/>
      <c r="E735" s="49"/>
    </row>
    <row r="736" spans="1:5" ht="10.5" customHeight="1" x14ac:dyDescent="0.3">
      <c r="A736" s="48">
        <f t="shared" si="13"/>
        <v>735</v>
      </c>
      <c r="B736" s="49"/>
      <c r="C736" s="49"/>
      <c r="D736" s="49"/>
      <c r="E736" s="49"/>
    </row>
    <row r="737" spans="1:5" ht="10.5" customHeight="1" x14ac:dyDescent="0.3">
      <c r="A737" s="48">
        <f t="shared" si="13"/>
        <v>736</v>
      </c>
      <c r="B737" s="49"/>
      <c r="C737" s="49"/>
      <c r="D737" s="49"/>
      <c r="E737" s="49"/>
    </row>
    <row r="738" spans="1:5" ht="10.5" customHeight="1" x14ac:dyDescent="0.3">
      <c r="A738" s="48">
        <f t="shared" si="13"/>
        <v>737</v>
      </c>
      <c r="B738" s="49"/>
      <c r="C738" s="49"/>
      <c r="D738" s="49"/>
      <c r="E738" s="49"/>
    </row>
    <row r="739" spans="1:5" ht="10.5" customHeight="1" x14ac:dyDescent="0.3">
      <c r="A739" s="48">
        <f t="shared" si="13"/>
        <v>738</v>
      </c>
      <c r="B739" s="49"/>
      <c r="C739" s="49"/>
      <c r="D739" s="49"/>
      <c r="E739" s="49"/>
    </row>
    <row r="740" spans="1:5" ht="10.5" customHeight="1" x14ac:dyDescent="0.3">
      <c r="A740" s="48">
        <f t="shared" si="13"/>
        <v>739</v>
      </c>
      <c r="B740" s="49"/>
      <c r="C740" s="49"/>
      <c r="D740" s="49"/>
      <c r="E740" s="49"/>
    </row>
    <row r="741" spans="1:5" ht="10.5" customHeight="1" x14ac:dyDescent="0.3">
      <c r="A741" s="48">
        <f t="shared" si="13"/>
        <v>740</v>
      </c>
      <c r="B741" s="49"/>
      <c r="C741" s="49"/>
      <c r="D741" s="49"/>
      <c r="E741" s="49"/>
    </row>
    <row r="742" spans="1:5" ht="10.5" customHeight="1" x14ac:dyDescent="0.3">
      <c r="A742" s="48">
        <f t="shared" si="13"/>
        <v>741</v>
      </c>
      <c r="B742" s="49"/>
      <c r="C742" s="49"/>
      <c r="D742" s="49"/>
      <c r="E742" s="49"/>
    </row>
    <row r="743" spans="1:5" ht="10.5" customHeight="1" x14ac:dyDescent="0.3">
      <c r="A743" s="48">
        <f t="shared" si="13"/>
        <v>742</v>
      </c>
      <c r="B743" s="49"/>
      <c r="C743" s="49"/>
      <c r="D743" s="49"/>
      <c r="E743" s="49"/>
    </row>
    <row r="744" spans="1:5" ht="10.5" customHeight="1" x14ac:dyDescent="0.3">
      <c r="A744" s="48">
        <f t="shared" si="13"/>
        <v>743</v>
      </c>
      <c r="B744" s="49"/>
      <c r="C744" s="49"/>
      <c r="D744" s="49"/>
      <c r="E744" s="49"/>
    </row>
    <row r="745" spans="1:5" ht="10.5" customHeight="1" x14ac:dyDescent="0.3">
      <c r="A745" s="48">
        <f t="shared" si="13"/>
        <v>744</v>
      </c>
      <c r="B745" s="49"/>
      <c r="C745" s="49"/>
      <c r="D745" s="49"/>
      <c r="E745" s="49"/>
    </row>
    <row r="746" spans="1:5" ht="10.5" customHeight="1" x14ac:dyDescent="0.3">
      <c r="A746" s="48">
        <f t="shared" si="13"/>
        <v>745</v>
      </c>
      <c r="B746" s="49"/>
      <c r="C746" s="49"/>
      <c r="D746" s="49"/>
      <c r="E746" s="49"/>
    </row>
    <row r="747" spans="1:5" ht="10.5" customHeight="1" x14ac:dyDescent="0.3">
      <c r="A747" s="48">
        <f t="shared" si="13"/>
        <v>746</v>
      </c>
      <c r="B747" s="49"/>
      <c r="C747" s="49"/>
      <c r="D747" s="49"/>
      <c r="E747" s="49"/>
    </row>
    <row r="748" spans="1:5" ht="10.5" customHeight="1" x14ac:dyDescent="0.3">
      <c r="A748" s="48">
        <f t="shared" si="13"/>
        <v>747</v>
      </c>
      <c r="B748" s="49"/>
      <c r="C748" s="49"/>
      <c r="D748" s="49"/>
      <c r="E748" s="49"/>
    </row>
    <row r="749" spans="1:5" ht="10.5" customHeight="1" x14ac:dyDescent="0.3">
      <c r="A749" s="48">
        <f t="shared" si="13"/>
        <v>748</v>
      </c>
      <c r="B749" s="49"/>
      <c r="C749" s="49"/>
      <c r="D749" s="49"/>
      <c r="E749" s="49"/>
    </row>
    <row r="750" spans="1:5" ht="10.5" customHeight="1" x14ac:dyDescent="0.3">
      <c r="A750" s="48">
        <f t="shared" si="13"/>
        <v>749</v>
      </c>
      <c r="B750" s="49"/>
      <c r="C750" s="49"/>
      <c r="D750" s="49"/>
      <c r="E750" s="49"/>
    </row>
    <row r="751" spans="1:5" ht="10.5" customHeight="1" x14ac:dyDescent="0.3">
      <c r="A751" s="48">
        <f t="shared" si="13"/>
        <v>750</v>
      </c>
      <c r="B751" s="49"/>
      <c r="C751" s="49"/>
      <c r="D751" s="49"/>
      <c r="E751" s="49"/>
    </row>
    <row r="752" spans="1:5" ht="10.5" customHeight="1" x14ac:dyDescent="0.3">
      <c r="A752" s="48">
        <f t="shared" si="13"/>
        <v>751</v>
      </c>
      <c r="B752" s="49"/>
      <c r="C752" s="49"/>
      <c r="D752" s="49"/>
      <c r="E752" s="49"/>
    </row>
    <row r="753" spans="1:5" ht="10.5" customHeight="1" x14ac:dyDescent="0.3">
      <c r="A753" s="48">
        <f t="shared" si="13"/>
        <v>752</v>
      </c>
      <c r="B753" s="49"/>
      <c r="C753" s="49"/>
      <c r="D753" s="49"/>
      <c r="E753" s="49"/>
    </row>
    <row r="754" spans="1:5" ht="10.5" customHeight="1" x14ac:dyDescent="0.3">
      <c r="A754" s="48">
        <f t="shared" si="13"/>
        <v>753</v>
      </c>
      <c r="B754" s="49"/>
      <c r="C754" s="49"/>
      <c r="D754" s="49"/>
      <c r="E754" s="49"/>
    </row>
    <row r="755" spans="1:5" ht="10.5" customHeight="1" x14ac:dyDescent="0.3">
      <c r="A755" s="48">
        <f t="shared" si="13"/>
        <v>754</v>
      </c>
      <c r="B755" s="49"/>
      <c r="C755" s="49"/>
      <c r="D755" s="49"/>
      <c r="E755" s="49"/>
    </row>
    <row r="756" spans="1:5" ht="10.5" customHeight="1" x14ac:dyDescent="0.3">
      <c r="A756" s="48">
        <f t="shared" si="13"/>
        <v>755</v>
      </c>
      <c r="B756" s="49"/>
      <c r="C756" s="49"/>
      <c r="D756" s="49"/>
      <c r="E756" s="49"/>
    </row>
    <row r="757" spans="1:5" ht="10.5" customHeight="1" x14ac:dyDescent="0.3">
      <c r="A757" s="48">
        <f t="shared" si="13"/>
        <v>756</v>
      </c>
      <c r="B757" s="49"/>
      <c r="C757" s="49"/>
      <c r="D757" s="49"/>
      <c r="E757" s="49"/>
    </row>
    <row r="758" spans="1:5" ht="10.5" customHeight="1" x14ac:dyDescent="0.3">
      <c r="A758" s="48">
        <f t="shared" si="13"/>
        <v>757</v>
      </c>
      <c r="B758" s="49"/>
      <c r="C758" s="49"/>
      <c r="D758" s="49"/>
      <c r="E758" s="49"/>
    </row>
    <row r="759" spans="1:5" ht="10.5" customHeight="1" x14ac:dyDescent="0.3">
      <c r="A759" s="48">
        <f t="shared" si="13"/>
        <v>758</v>
      </c>
      <c r="B759" s="49"/>
      <c r="C759" s="49"/>
      <c r="D759" s="49"/>
      <c r="E759" s="49"/>
    </row>
    <row r="760" spans="1:5" ht="10.5" customHeight="1" x14ac:dyDescent="0.3">
      <c r="A760" s="48">
        <f t="shared" si="13"/>
        <v>759</v>
      </c>
      <c r="B760" s="49"/>
      <c r="C760" s="49"/>
      <c r="D760" s="49"/>
      <c r="E760" s="49"/>
    </row>
    <row r="761" spans="1:5" ht="10.5" customHeight="1" x14ac:dyDescent="0.3">
      <c r="A761" s="48">
        <f t="shared" si="13"/>
        <v>760</v>
      </c>
      <c r="B761" s="49"/>
      <c r="C761" s="49"/>
      <c r="D761" s="49"/>
      <c r="E761" s="49"/>
    </row>
    <row r="762" spans="1:5" ht="10.5" customHeight="1" x14ac:dyDescent="0.3">
      <c r="A762" s="48">
        <f t="shared" si="13"/>
        <v>761</v>
      </c>
      <c r="B762" s="49"/>
      <c r="C762" s="49"/>
      <c r="D762" s="49"/>
      <c r="E762" s="49"/>
    </row>
    <row r="763" spans="1:5" ht="10.5" customHeight="1" x14ac:dyDescent="0.3">
      <c r="A763" s="48">
        <f t="shared" si="13"/>
        <v>762</v>
      </c>
      <c r="B763" s="49"/>
      <c r="C763" s="49"/>
      <c r="D763" s="49"/>
      <c r="E763" s="49"/>
    </row>
    <row r="764" spans="1:5" ht="10.5" customHeight="1" x14ac:dyDescent="0.3">
      <c r="A764" s="48">
        <f t="shared" si="13"/>
        <v>763</v>
      </c>
      <c r="B764" s="49"/>
      <c r="C764" s="49"/>
      <c r="D764" s="49"/>
      <c r="E764" s="49"/>
    </row>
    <row r="765" spans="1:5" ht="10.5" customHeight="1" x14ac:dyDescent="0.3">
      <c r="A765" s="48">
        <f t="shared" si="13"/>
        <v>764</v>
      </c>
      <c r="B765" s="49"/>
      <c r="C765" s="49"/>
      <c r="D765" s="49"/>
      <c r="E765" s="49"/>
    </row>
    <row r="766" spans="1:5" ht="10.5" customHeight="1" x14ac:dyDescent="0.3">
      <c r="A766" s="48">
        <f t="shared" si="13"/>
        <v>765</v>
      </c>
      <c r="B766" s="49"/>
      <c r="C766" s="49"/>
      <c r="D766" s="49"/>
      <c r="E766" s="49"/>
    </row>
    <row r="767" spans="1:5" ht="10.5" customHeight="1" x14ac:dyDescent="0.3">
      <c r="A767" s="48">
        <f t="shared" si="13"/>
        <v>766</v>
      </c>
      <c r="B767" s="49"/>
      <c r="C767" s="49"/>
      <c r="D767" s="49"/>
      <c r="E767" s="49"/>
    </row>
    <row r="768" spans="1:5" ht="10.5" customHeight="1" x14ac:dyDescent="0.3">
      <c r="A768" s="48">
        <f t="shared" si="13"/>
        <v>767</v>
      </c>
      <c r="B768" s="49"/>
      <c r="C768" s="49"/>
      <c r="D768" s="49"/>
      <c r="E768" s="49"/>
    </row>
    <row r="769" spans="1:5" ht="10.5" customHeight="1" x14ac:dyDescent="0.3">
      <c r="A769" s="48">
        <f t="shared" si="13"/>
        <v>768</v>
      </c>
      <c r="B769" s="49"/>
      <c r="C769" s="49"/>
      <c r="D769" s="49"/>
      <c r="E769" s="49"/>
    </row>
    <row r="770" spans="1:5" ht="10.5" customHeight="1" x14ac:dyDescent="0.3">
      <c r="A770" s="48">
        <f t="shared" si="13"/>
        <v>769</v>
      </c>
      <c r="B770" s="49"/>
      <c r="C770" s="49"/>
      <c r="D770" s="49"/>
      <c r="E770" s="49"/>
    </row>
    <row r="771" spans="1:5" ht="10.5" customHeight="1" x14ac:dyDescent="0.3">
      <c r="A771" s="48">
        <f t="shared" ref="A771:A834" si="14">A770+1</f>
        <v>770</v>
      </c>
      <c r="B771" s="49"/>
      <c r="C771" s="49"/>
      <c r="D771" s="49"/>
      <c r="E771" s="49"/>
    </row>
    <row r="772" spans="1:5" ht="10.5" customHeight="1" x14ac:dyDescent="0.3">
      <c r="A772" s="48">
        <f t="shared" si="14"/>
        <v>771</v>
      </c>
      <c r="B772" s="49"/>
      <c r="C772" s="49"/>
      <c r="D772" s="49"/>
      <c r="E772" s="49"/>
    </row>
    <row r="773" spans="1:5" ht="10.5" customHeight="1" x14ac:dyDescent="0.3">
      <c r="A773" s="48">
        <f t="shared" si="14"/>
        <v>772</v>
      </c>
      <c r="B773" s="49"/>
      <c r="C773" s="49"/>
      <c r="D773" s="49"/>
      <c r="E773" s="49"/>
    </row>
    <row r="774" spans="1:5" ht="10.5" customHeight="1" x14ac:dyDescent="0.3">
      <c r="A774" s="48">
        <f t="shared" si="14"/>
        <v>773</v>
      </c>
      <c r="B774" s="49"/>
      <c r="C774" s="49"/>
      <c r="D774" s="49"/>
      <c r="E774" s="49"/>
    </row>
    <row r="775" spans="1:5" ht="10.5" customHeight="1" x14ac:dyDescent="0.3">
      <c r="A775" s="48">
        <f t="shared" si="14"/>
        <v>774</v>
      </c>
      <c r="B775" s="49"/>
      <c r="C775" s="49"/>
      <c r="D775" s="49"/>
      <c r="E775" s="49"/>
    </row>
    <row r="776" spans="1:5" ht="10.5" customHeight="1" x14ac:dyDescent="0.3">
      <c r="A776" s="48">
        <f t="shared" si="14"/>
        <v>775</v>
      </c>
      <c r="B776" s="49"/>
      <c r="C776" s="49"/>
      <c r="D776" s="49"/>
      <c r="E776" s="49"/>
    </row>
    <row r="777" spans="1:5" ht="10.5" customHeight="1" x14ac:dyDescent="0.3">
      <c r="A777" s="48">
        <f t="shared" si="14"/>
        <v>776</v>
      </c>
      <c r="B777" s="49"/>
      <c r="C777" s="49"/>
      <c r="D777" s="49"/>
      <c r="E777" s="49"/>
    </row>
    <row r="778" spans="1:5" ht="10.5" customHeight="1" x14ac:dyDescent="0.3">
      <c r="A778" s="48">
        <f t="shared" si="14"/>
        <v>777</v>
      </c>
      <c r="B778" s="49"/>
      <c r="C778" s="49"/>
      <c r="D778" s="49"/>
      <c r="E778" s="49"/>
    </row>
    <row r="779" spans="1:5" ht="10.5" customHeight="1" x14ac:dyDescent="0.3">
      <c r="A779" s="48">
        <f t="shared" si="14"/>
        <v>778</v>
      </c>
      <c r="B779" s="49"/>
      <c r="C779" s="49"/>
      <c r="D779" s="49"/>
      <c r="E779" s="49"/>
    </row>
    <row r="780" spans="1:5" ht="10.5" customHeight="1" x14ac:dyDescent="0.3">
      <c r="A780" s="48">
        <f t="shared" si="14"/>
        <v>779</v>
      </c>
      <c r="B780" s="49"/>
      <c r="C780" s="49"/>
      <c r="D780" s="49"/>
      <c r="E780" s="49"/>
    </row>
    <row r="781" spans="1:5" ht="10.5" customHeight="1" x14ac:dyDescent="0.3">
      <c r="A781" s="48">
        <f t="shared" si="14"/>
        <v>780</v>
      </c>
      <c r="B781" s="49"/>
      <c r="C781" s="49"/>
      <c r="D781" s="49"/>
      <c r="E781" s="49"/>
    </row>
    <row r="782" spans="1:5" ht="10.5" customHeight="1" x14ac:dyDescent="0.3">
      <c r="A782" s="48">
        <f t="shared" si="14"/>
        <v>781</v>
      </c>
      <c r="B782" s="49"/>
      <c r="C782" s="49"/>
      <c r="D782" s="49"/>
      <c r="E782" s="49"/>
    </row>
    <row r="783" spans="1:5" ht="10.5" customHeight="1" x14ac:dyDescent="0.3">
      <c r="A783" s="48">
        <f t="shared" si="14"/>
        <v>782</v>
      </c>
      <c r="B783" s="49"/>
      <c r="C783" s="49"/>
      <c r="D783" s="49"/>
      <c r="E783" s="49"/>
    </row>
    <row r="784" spans="1:5" ht="10.5" customHeight="1" x14ac:dyDescent="0.3">
      <c r="A784" s="48">
        <f t="shared" si="14"/>
        <v>783</v>
      </c>
      <c r="B784" s="49"/>
      <c r="C784" s="49"/>
      <c r="D784" s="49"/>
      <c r="E784" s="49"/>
    </row>
    <row r="785" spans="1:5" ht="10.5" customHeight="1" x14ac:dyDescent="0.3">
      <c r="A785" s="48">
        <f t="shared" si="14"/>
        <v>784</v>
      </c>
      <c r="B785" s="49"/>
      <c r="C785" s="49"/>
      <c r="D785" s="49"/>
      <c r="E785" s="49"/>
    </row>
    <row r="786" spans="1:5" ht="10.5" customHeight="1" x14ac:dyDescent="0.3">
      <c r="A786" s="48">
        <f t="shared" si="14"/>
        <v>785</v>
      </c>
      <c r="B786" s="49"/>
      <c r="C786" s="49"/>
      <c r="D786" s="49"/>
      <c r="E786" s="49"/>
    </row>
    <row r="787" spans="1:5" ht="10.5" customHeight="1" x14ac:dyDescent="0.3">
      <c r="A787" s="48">
        <f t="shared" si="14"/>
        <v>786</v>
      </c>
      <c r="B787" s="49"/>
      <c r="C787" s="49"/>
      <c r="D787" s="49"/>
      <c r="E787" s="49"/>
    </row>
    <row r="788" spans="1:5" ht="10.5" customHeight="1" x14ac:dyDescent="0.3">
      <c r="A788" s="48">
        <f t="shared" si="14"/>
        <v>787</v>
      </c>
      <c r="B788" s="49"/>
      <c r="C788" s="49"/>
      <c r="D788" s="49"/>
      <c r="E788" s="49"/>
    </row>
    <row r="789" spans="1:5" ht="10.5" customHeight="1" x14ac:dyDescent="0.3">
      <c r="A789" s="48">
        <f t="shared" si="14"/>
        <v>788</v>
      </c>
      <c r="B789" s="49"/>
      <c r="C789" s="49"/>
      <c r="D789" s="49"/>
      <c r="E789" s="49"/>
    </row>
    <row r="790" spans="1:5" ht="10.5" customHeight="1" x14ac:dyDescent="0.3">
      <c r="A790" s="48">
        <f t="shared" si="14"/>
        <v>789</v>
      </c>
      <c r="B790" s="49"/>
      <c r="C790" s="49"/>
      <c r="D790" s="49"/>
      <c r="E790" s="49"/>
    </row>
    <row r="791" spans="1:5" ht="10.5" customHeight="1" x14ac:dyDescent="0.3">
      <c r="A791" s="48">
        <f t="shared" si="14"/>
        <v>790</v>
      </c>
      <c r="B791" s="49"/>
      <c r="C791" s="49"/>
      <c r="D791" s="49"/>
      <c r="E791" s="49"/>
    </row>
    <row r="792" spans="1:5" ht="10.5" customHeight="1" x14ac:dyDescent="0.3">
      <c r="A792" s="48">
        <f t="shared" si="14"/>
        <v>791</v>
      </c>
      <c r="B792" s="49"/>
      <c r="C792" s="49"/>
      <c r="D792" s="49"/>
      <c r="E792" s="49"/>
    </row>
    <row r="793" spans="1:5" ht="10.5" customHeight="1" x14ac:dyDescent="0.3">
      <c r="A793" s="48">
        <f t="shared" si="14"/>
        <v>792</v>
      </c>
      <c r="B793" s="49"/>
      <c r="C793" s="49"/>
      <c r="D793" s="49"/>
      <c r="E793" s="49"/>
    </row>
    <row r="794" spans="1:5" ht="10.5" customHeight="1" x14ac:dyDescent="0.3">
      <c r="A794" s="48">
        <f t="shared" si="14"/>
        <v>793</v>
      </c>
      <c r="B794" s="49"/>
      <c r="C794" s="49"/>
      <c r="D794" s="49"/>
      <c r="E794" s="49"/>
    </row>
    <row r="795" spans="1:5" ht="10.5" customHeight="1" x14ac:dyDescent="0.3">
      <c r="A795" s="48">
        <f t="shared" si="14"/>
        <v>794</v>
      </c>
      <c r="B795" s="49"/>
      <c r="C795" s="49"/>
      <c r="D795" s="49"/>
      <c r="E795" s="49"/>
    </row>
    <row r="796" spans="1:5" ht="10.5" customHeight="1" x14ac:dyDescent="0.3">
      <c r="A796" s="48">
        <f t="shared" si="14"/>
        <v>795</v>
      </c>
      <c r="B796" s="49"/>
      <c r="C796" s="49"/>
      <c r="D796" s="49"/>
      <c r="E796" s="49"/>
    </row>
    <row r="797" spans="1:5" ht="10.5" customHeight="1" x14ac:dyDescent="0.3">
      <c r="A797" s="48">
        <f t="shared" si="14"/>
        <v>796</v>
      </c>
      <c r="B797" s="49"/>
      <c r="C797" s="49"/>
      <c r="D797" s="49"/>
      <c r="E797" s="49"/>
    </row>
    <row r="798" spans="1:5" ht="10.5" customHeight="1" x14ac:dyDescent="0.3">
      <c r="A798" s="48">
        <f t="shared" si="14"/>
        <v>797</v>
      </c>
      <c r="B798" s="49"/>
      <c r="C798" s="49"/>
      <c r="D798" s="49"/>
      <c r="E798" s="49"/>
    </row>
    <row r="799" spans="1:5" ht="10.5" customHeight="1" x14ac:dyDescent="0.3">
      <c r="A799" s="48">
        <f t="shared" si="14"/>
        <v>798</v>
      </c>
      <c r="B799" s="49"/>
      <c r="C799" s="49"/>
      <c r="D799" s="49"/>
      <c r="E799" s="49"/>
    </row>
    <row r="800" spans="1:5" ht="10.5" customHeight="1" x14ac:dyDescent="0.3">
      <c r="A800" s="48">
        <f t="shared" si="14"/>
        <v>799</v>
      </c>
      <c r="B800" s="49"/>
      <c r="C800" s="49"/>
      <c r="D800" s="49"/>
      <c r="E800" s="49"/>
    </row>
    <row r="801" spans="1:5" ht="10.5" customHeight="1" x14ac:dyDescent="0.3">
      <c r="A801" s="48">
        <f t="shared" si="14"/>
        <v>800</v>
      </c>
      <c r="B801" s="49"/>
      <c r="C801" s="49"/>
      <c r="D801" s="49"/>
      <c r="E801" s="49"/>
    </row>
    <row r="802" spans="1:5" ht="10.5" customHeight="1" x14ac:dyDescent="0.3">
      <c r="A802" s="48">
        <f t="shared" si="14"/>
        <v>801</v>
      </c>
      <c r="B802" s="49"/>
      <c r="C802" s="49"/>
      <c r="D802" s="49"/>
      <c r="E802" s="49"/>
    </row>
    <row r="803" spans="1:5" ht="10.5" customHeight="1" x14ac:dyDescent="0.3">
      <c r="A803" s="48">
        <f t="shared" si="14"/>
        <v>802</v>
      </c>
      <c r="B803" s="49"/>
      <c r="C803" s="49"/>
      <c r="D803" s="49"/>
      <c r="E803" s="49"/>
    </row>
    <row r="804" spans="1:5" ht="10.5" customHeight="1" x14ac:dyDescent="0.3">
      <c r="A804" s="48">
        <f t="shared" si="14"/>
        <v>803</v>
      </c>
      <c r="B804" s="49"/>
      <c r="C804" s="49"/>
      <c r="D804" s="49"/>
      <c r="E804" s="49"/>
    </row>
    <row r="805" spans="1:5" ht="10.5" customHeight="1" x14ac:dyDescent="0.3">
      <c r="A805" s="48">
        <f t="shared" si="14"/>
        <v>804</v>
      </c>
      <c r="B805" s="49"/>
      <c r="C805" s="49"/>
      <c r="D805" s="49"/>
      <c r="E805" s="49"/>
    </row>
    <row r="806" spans="1:5" ht="10.5" customHeight="1" x14ac:dyDescent="0.3">
      <c r="A806" s="48">
        <f t="shared" si="14"/>
        <v>805</v>
      </c>
      <c r="B806" s="49"/>
      <c r="C806" s="49"/>
      <c r="D806" s="49"/>
      <c r="E806" s="49"/>
    </row>
    <row r="807" spans="1:5" ht="10.5" customHeight="1" x14ac:dyDescent="0.3">
      <c r="A807" s="48">
        <f t="shared" si="14"/>
        <v>806</v>
      </c>
      <c r="B807" s="49"/>
      <c r="C807" s="49"/>
      <c r="D807" s="49"/>
      <c r="E807" s="49"/>
    </row>
    <row r="808" spans="1:5" ht="10.5" customHeight="1" x14ac:dyDescent="0.3">
      <c r="A808" s="48">
        <f t="shared" si="14"/>
        <v>807</v>
      </c>
      <c r="B808" s="49"/>
      <c r="C808" s="49"/>
      <c r="D808" s="49"/>
      <c r="E808" s="49"/>
    </row>
    <row r="809" spans="1:5" ht="10.5" customHeight="1" x14ac:dyDescent="0.3">
      <c r="A809" s="48">
        <f t="shared" si="14"/>
        <v>808</v>
      </c>
      <c r="B809" s="49"/>
      <c r="C809" s="49"/>
      <c r="D809" s="49"/>
      <c r="E809" s="49"/>
    </row>
    <row r="810" spans="1:5" ht="10.5" customHeight="1" x14ac:dyDescent="0.3">
      <c r="A810" s="48">
        <f t="shared" si="14"/>
        <v>809</v>
      </c>
      <c r="B810" s="49"/>
      <c r="C810" s="49"/>
      <c r="D810" s="49"/>
      <c r="E810" s="49"/>
    </row>
    <row r="811" spans="1:5" ht="10.5" customHeight="1" x14ac:dyDescent="0.3">
      <c r="A811" s="48">
        <f t="shared" si="14"/>
        <v>810</v>
      </c>
      <c r="B811" s="49"/>
      <c r="C811" s="49"/>
      <c r="D811" s="49"/>
      <c r="E811" s="49"/>
    </row>
    <row r="812" spans="1:5" ht="10.5" customHeight="1" x14ac:dyDescent="0.3">
      <c r="A812" s="48">
        <f t="shared" si="14"/>
        <v>811</v>
      </c>
      <c r="B812" s="49"/>
      <c r="C812" s="49"/>
      <c r="D812" s="49"/>
      <c r="E812" s="49"/>
    </row>
    <row r="813" spans="1:5" ht="10.5" customHeight="1" x14ac:dyDescent="0.3">
      <c r="A813" s="48">
        <f t="shared" si="14"/>
        <v>812</v>
      </c>
      <c r="B813" s="49"/>
      <c r="C813" s="49"/>
      <c r="D813" s="49"/>
      <c r="E813" s="49"/>
    </row>
    <row r="814" spans="1:5" ht="10.5" customHeight="1" x14ac:dyDescent="0.3">
      <c r="A814" s="48">
        <f t="shared" si="14"/>
        <v>813</v>
      </c>
      <c r="B814" s="49"/>
      <c r="C814" s="49"/>
      <c r="D814" s="49"/>
      <c r="E814" s="49"/>
    </row>
    <row r="815" spans="1:5" ht="10.5" customHeight="1" x14ac:dyDescent="0.3">
      <c r="A815" s="48">
        <f t="shared" si="14"/>
        <v>814</v>
      </c>
      <c r="B815" s="49"/>
      <c r="C815" s="49"/>
      <c r="D815" s="49"/>
      <c r="E815" s="49"/>
    </row>
    <row r="816" spans="1:5" ht="10.5" customHeight="1" x14ac:dyDescent="0.3">
      <c r="A816" s="48">
        <f t="shared" si="14"/>
        <v>815</v>
      </c>
      <c r="B816" s="49"/>
      <c r="C816" s="49"/>
      <c r="D816" s="49"/>
      <c r="E816" s="49"/>
    </row>
    <row r="817" spans="1:5" ht="10.5" customHeight="1" x14ac:dyDescent="0.3">
      <c r="A817" s="48">
        <f t="shared" si="14"/>
        <v>816</v>
      </c>
      <c r="B817" s="49"/>
      <c r="C817" s="49"/>
      <c r="D817" s="49"/>
      <c r="E817" s="49"/>
    </row>
    <row r="818" spans="1:5" ht="10.5" customHeight="1" x14ac:dyDescent="0.3">
      <c r="A818" s="48">
        <f t="shared" si="14"/>
        <v>817</v>
      </c>
      <c r="B818" s="49"/>
      <c r="C818" s="49"/>
      <c r="D818" s="49"/>
      <c r="E818" s="49"/>
    </row>
    <row r="819" spans="1:5" ht="10.5" customHeight="1" x14ac:dyDescent="0.3">
      <c r="A819" s="48">
        <f t="shared" si="14"/>
        <v>818</v>
      </c>
      <c r="B819" s="49"/>
      <c r="C819" s="49"/>
      <c r="D819" s="49"/>
      <c r="E819" s="49"/>
    </row>
    <row r="820" spans="1:5" ht="10.5" customHeight="1" x14ac:dyDescent="0.3">
      <c r="A820" s="48">
        <f t="shared" si="14"/>
        <v>819</v>
      </c>
      <c r="B820" s="49"/>
      <c r="C820" s="49"/>
      <c r="D820" s="49"/>
      <c r="E820" s="49"/>
    </row>
    <row r="821" spans="1:5" ht="10.5" customHeight="1" x14ac:dyDescent="0.3">
      <c r="A821" s="48">
        <f t="shared" si="14"/>
        <v>820</v>
      </c>
      <c r="B821" s="49"/>
      <c r="C821" s="49"/>
      <c r="D821" s="49"/>
      <c r="E821" s="49"/>
    </row>
    <row r="822" spans="1:5" ht="10.5" customHeight="1" x14ac:dyDescent="0.3">
      <c r="A822" s="48">
        <f t="shared" si="14"/>
        <v>821</v>
      </c>
      <c r="B822" s="49"/>
      <c r="C822" s="49"/>
      <c r="D822" s="49"/>
      <c r="E822" s="49"/>
    </row>
    <row r="823" spans="1:5" ht="10.5" customHeight="1" x14ac:dyDescent="0.3">
      <c r="A823" s="48">
        <f t="shared" si="14"/>
        <v>822</v>
      </c>
      <c r="B823" s="49"/>
      <c r="C823" s="49"/>
      <c r="D823" s="49"/>
      <c r="E823" s="49"/>
    </row>
    <row r="824" spans="1:5" ht="10.5" customHeight="1" x14ac:dyDescent="0.3">
      <c r="A824" s="48">
        <f t="shared" si="14"/>
        <v>823</v>
      </c>
      <c r="B824" s="49"/>
      <c r="C824" s="49"/>
      <c r="D824" s="49"/>
      <c r="E824" s="49"/>
    </row>
    <row r="825" spans="1:5" ht="10.5" customHeight="1" x14ac:dyDescent="0.3">
      <c r="A825" s="48">
        <f t="shared" si="14"/>
        <v>824</v>
      </c>
      <c r="B825" s="49"/>
      <c r="C825" s="49"/>
      <c r="D825" s="49"/>
      <c r="E825" s="49"/>
    </row>
    <row r="826" spans="1:5" ht="10.5" customHeight="1" x14ac:dyDescent="0.3">
      <c r="A826" s="48">
        <f t="shared" si="14"/>
        <v>825</v>
      </c>
      <c r="B826" s="49"/>
      <c r="C826" s="49"/>
      <c r="D826" s="49"/>
      <c r="E826" s="49"/>
    </row>
    <row r="827" spans="1:5" ht="10.5" customHeight="1" x14ac:dyDescent="0.3">
      <c r="A827" s="48">
        <f t="shared" si="14"/>
        <v>826</v>
      </c>
      <c r="B827" s="49"/>
      <c r="C827" s="49"/>
      <c r="D827" s="49"/>
      <c r="E827" s="49"/>
    </row>
    <row r="828" spans="1:5" ht="10.5" customHeight="1" x14ac:dyDescent="0.3">
      <c r="A828" s="48">
        <f t="shared" si="14"/>
        <v>827</v>
      </c>
      <c r="B828" s="49"/>
      <c r="C828" s="49"/>
      <c r="D828" s="49"/>
      <c r="E828" s="49"/>
    </row>
    <row r="829" spans="1:5" ht="10.5" customHeight="1" x14ac:dyDescent="0.3">
      <c r="A829" s="48">
        <f t="shared" si="14"/>
        <v>828</v>
      </c>
      <c r="B829" s="49"/>
      <c r="C829" s="49"/>
      <c r="D829" s="49"/>
      <c r="E829" s="49"/>
    </row>
    <row r="830" spans="1:5" ht="10.5" customHeight="1" x14ac:dyDescent="0.3">
      <c r="A830" s="48">
        <f t="shared" si="14"/>
        <v>829</v>
      </c>
      <c r="B830" s="49"/>
      <c r="C830" s="49"/>
      <c r="D830" s="49"/>
      <c r="E830" s="49"/>
    </row>
    <row r="831" spans="1:5" ht="10.5" customHeight="1" x14ac:dyDescent="0.3">
      <c r="A831" s="48">
        <f t="shared" si="14"/>
        <v>830</v>
      </c>
      <c r="B831" s="49"/>
      <c r="C831" s="49"/>
      <c r="D831" s="49"/>
      <c r="E831" s="49"/>
    </row>
    <row r="832" spans="1:5" ht="10.5" customHeight="1" x14ac:dyDescent="0.3">
      <c r="A832" s="48">
        <f t="shared" si="14"/>
        <v>831</v>
      </c>
      <c r="B832" s="49"/>
      <c r="C832" s="49"/>
      <c r="D832" s="49"/>
      <c r="E832" s="49"/>
    </row>
    <row r="833" spans="1:5" ht="10.5" customHeight="1" x14ac:dyDescent="0.3">
      <c r="A833" s="48">
        <f t="shared" si="14"/>
        <v>832</v>
      </c>
      <c r="B833" s="49"/>
      <c r="C833" s="49"/>
      <c r="D833" s="49"/>
      <c r="E833" s="49"/>
    </row>
    <row r="834" spans="1:5" ht="10.5" customHeight="1" x14ac:dyDescent="0.3">
      <c r="A834" s="48">
        <f t="shared" si="14"/>
        <v>833</v>
      </c>
      <c r="B834" s="49"/>
      <c r="C834" s="49"/>
      <c r="D834" s="49"/>
      <c r="E834" s="49"/>
    </row>
    <row r="835" spans="1:5" ht="10.5" customHeight="1" x14ac:dyDescent="0.3">
      <c r="A835" s="48">
        <f t="shared" ref="A835:A898" si="15">A834+1</f>
        <v>834</v>
      </c>
      <c r="B835" s="49"/>
      <c r="C835" s="49"/>
      <c r="D835" s="49"/>
      <c r="E835" s="49"/>
    </row>
    <row r="836" spans="1:5" ht="10.5" customHeight="1" x14ac:dyDescent="0.3">
      <c r="A836" s="48">
        <f t="shared" si="15"/>
        <v>835</v>
      </c>
      <c r="B836" s="49"/>
      <c r="C836" s="49"/>
      <c r="D836" s="49"/>
      <c r="E836" s="49"/>
    </row>
    <row r="837" spans="1:5" ht="10.5" customHeight="1" x14ac:dyDescent="0.3">
      <c r="A837" s="48">
        <f t="shared" si="15"/>
        <v>836</v>
      </c>
      <c r="B837" s="49"/>
      <c r="C837" s="49"/>
      <c r="D837" s="49"/>
      <c r="E837" s="49"/>
    </row>
    <row r="838" spans="1:5" ht="10.5" customHeight="1" x14ac:dyDescent="0.3">
      <c r="A838" s="48">
        <f t="shared" si="15"/>
        <v>837</v>
      </c>
      <c r="B838" s="49"/>
      <c r="C838" s="49"/>
      <c r="D838" s="49"/>
      <c r="E838" s="49"/>
    </row>
    <row r="839" spans="1:5" ht="10.5" customHeight="1" x14ac:dyDescent="0.3">
      <c r="A839" s="48">
        <f t="shared" si="15"/>
        <v>838</v>
      </c>
      <c r="B839" s="49"/>
      <c r="C839" s="49"/>
      <c r="D839" s="49"/>
      <c r="E839" s="49"/>
    </row>
    <row r="840" spans="1:5" ht="10.5" customHeight="1" x14ac:dyDescent="0.3">
      <c r="A840" s="48">
        <f t="shared" si="15"/>
        <v>839</v>
      </c>
      <c r="B840" s="49"/>
      <c r="C840" s="49"/>
      <c r="D840" s="49"/>
      <c r="E840" s="49"/>
    </row>
    <row r="841" spans="1:5" ht="10.5" customHeight="1" x14ac:dyDescent="0.3">
      <c r="A841" s="48">
        <f t="shared" si="15"/>
        <v>840</v>
      </c>
      <c r="B841" s="49"/>
      <c r="C841" s="49"/>
      <c r="D841" s="49"/>
      <c r="E841" s="49"/>
    </row>
    <row r="842" spans="1:5" ht="10.5" customHeight="1" x14ac:dyDescent="0.3">
      <c r="A842" s="48">
        <f t="shared" si="15"/>
        <v>841</v>
      </c>
      <c r="B842" s="49"/>
      <c r="C842" s="49"/>
      <c r="D842" s="49"/>
      <c r="E842" s="49"/>
    </row>
    <row r="843" spans="1:5" ht="10.5" customHeight="1" x14ac:dyDescent="0.3">
      <c r="A843" s="48">
        <f t="shared" si="15"/>
        <v>842</v>
      </c>
      <c r="B843" s="49"/>
      <c r="C843" s="49"/>
      <c r="D843" s="49"/>
      <c r="E843" s="49"/>
    </row>
    <row r="844" spans="1:5" ht="10.5" customHeight="1" x14ac:dyDescent="0.3">
      <c r="A844" s="48">
        <f t="shared" si="15"/>
        <v>843</v>
      </c>
      <c r="B844" s="49"/>
      <c r="C844" s="49"/>
      <c r="D844" s="49"/>
      <c r="E844" s="49"/>
    </row>
    <row r="845" spans="1:5" ht="10.5" customHeight="1" x14ac:dyDescent="0.3">
      <c r="A845" s="48">
        <f t="shared" si="15"/>
        <v>844</v>
      </c>
      <c r="B845" s="49"/>
      <c r="C845" s="49"/>
      <c r="D845" s="49"/>
      <c r="E845" s="49"/>
    </row>
    <row r="846" spans="1:5" ht="10.5" customHeight="1" x14ac:dyDescent="0.3">
      <c r="A846" s="48">
        <f t="shared" si="15"/>
        <v>845</v>
      </c>
      <c r="B846" s="49"/>
      <c r="C846" s="49"/>
      <c r="D846" s="49"/>
      <c r="E846" s="49"/>
    </row>
    <row r="847" spans="1:5" ht="10.5" customHeight="1" x14ac:dyDescent="0.3">
      <c r="A847" s="48">
        <f t="shared" si="15"/>
        <v>846</v>
      </c>
      <c r="B847" s="49"/>
      <c r="C847" s="49"/>
      <c r="D847" s="49"/>
      <c r="E847" s="49"/>
    </row>
    <row r="848" spans="1:5" ht="10.5" customHeight="1" x14ac:dyDescent="0.3">
      <c r="A848" s="48">
        <f t="shared" si="15"/>
        <v>847</v>
      </c>
      <c r="B848" s="49"/>
      <c r="C848" s="49"/>
      <c r="D848" s="49"/>
      <c r="E848" s="49"/>
    </row>
    <row r="849" spans="1:5" ht="10.5" customHeight="1" x14ac:dyDescent="0.3">
      <c r="A849" s="48">
        <f t="shared" si="15"/>
        <v>848</v>
      </c>
      <c r="B849" s="49"/>
      <c r="C849" s="49"/>
      <c r="D849" s="49"/>
      <c r="E849" s="49"/>
    </row>
    <row r="850" spans="1:5" ht="10.5" customHeight="1" x14ac:dyDescent="0.3">
      <c r="A850" s="48">
        <f t="shared" si="15"/>
        <v>849</v>
      </c>
      <c r="B850" s="49"/>
      <c r="C850" s="49"/>
      <c r="D850" s="49"/>
      <c r="E850" s="49"/>
    </row>
    <row r="851" spans="1:5" ht="10.5" customHeight="1" x14ac:dyDescent="0.3">
      <c r="A851" s="48">
        <f t="shared" si="15"/>
        <v>850</v>
      </c>
      <c r="B851" s="49"/>
      <c r="C851" s="49"/>
      <c r="D851" s="49"/>
      <c r="E851" s="49"/>
    </row>
    <row r="852" spans="1:5" ht="10.5" customHeight="1" x14ac:dyDescent="0.3">
      <c r="A852" s="48">
        <f t="shared" si="15"/>
        <v>851</v>
      </c>
      <c r="B852" s="49"/>
      <c r="C852" s="49"/>
      <c r="D852" s="49"/>
      <c r="E852" s="49"/>
    </row>
    <row r="853" spans="1:5" ht="10.5" customHeight="1" x14ac:dyDescent="0.3">
      <c r="A853" s="48">
        <f t="shared" si="15"/>
        <v>852</v>
      </c>
      <c r="B853" s="49"/>
      <c r="C853" s="49"/>
      <c r="D853" s="49"/>
      <c r="E853" s="49"/>
    </row>
    <row r="854" spans="1:5" ht="10.5" customHeight="1" x14ac:dyDescent="0.3">
      <c r="A854" s="48">
        <f t="shared" si="15"/>
        <v>853</v>
      </c>
      <c r="B854" s="49"/>
      <c r="C854" s="49"/>
      <c r="D854" s="49"/>
      <c r="E854" s="49"/>
    </row>
    <row r="855" spans="1:5" ht="10.5" customHeight="1" x14ac:dyDescent="0.3">
      <c r="A855" s="48">
        <f t="shared" si="15"/>
        <v>854</v>
      </c>
      <c r="B855" s="49"/>
      <c r="C855" s="49"/>
      <c r="D855" s="49"/>
      <c r="E855" s="49"/>
    </row>
    <row r="856" spans="1:5" ht="10.5" customHeight="1" x14ac:dyDescent="0.3">
      <c r="A856" s="48">
        <f t="shared" si="15"/>
        <v>855</v>
      </c>
      <c r="B856" s="49"/>
      <c r="C856" s="49"/>
      <c r="D856" s="49"/>
      <c r="E856" s="49"/>
    </row>
    <row r="857" spans="1:5" ht="10.5" customHeight="1" x14ac:dyDescent="0.3">
      <c r="A857" s="48">
        <f t="shared" si="15"/>
        <v>856</v>
      </c>
      <c r="B857" s="49"/>
      <c r="C857" s="49"/>
      <c r="D857" s="49"/>
      <c r="E857" s="49"/>
    </row>
    <row r="858" spans="1:5" ht="10.5" customHeight="1" x14ac:dyDescent="0.3">
      <c r="A858" s="48">
        <f t="shared" si="15"/>
        <v>857</v>
      </c>
      <c r="B858" s="49"/>
      <c r="C858" s="49"/>
      <c r="D858" s="49"/>
      <c r="E858" s="49"/>
    </row>
    <row r="859" spans="1:5" ht="10.5" customHeight="1" x14ac:dyDescent="0.3">
      <c r="A859" s="48">
        <f t="shared" si="15"/>
        <v>858</v>
      </c>
      <c r="B859" s="49"/>
      <c r="C859" s="49"/>
      <c r="D859" s="49"/>
      <c r="E859" s="49"/>
    </row>
    <row r="860" spans="1:5" ht="10.5" customHeight="1" x14ac:dyDescent="0.3">
      <c r="A860" s="48">
        <f t="shared" si="15"/>
        <v>859</v>
      </c>
      <c r="B860" s="49"/>
      <c r="C860" s="49"/>
      <c r="D860" s="49"/>
      <c r="E860" s="49"/>
    </row>
    <row r="861" spans="1:5" ht="10.5" customHeight="1" x14ac:dyDescent="0.3">
      <c r="A861" s="48">
        <f t="shared" si="15"/>
        <v>860</v>
      </c>
      <c r="B861" s="49"/>
      <c r="C861" s="49"/>
      <c r="D861" s="49"/>
      <c r="E861" s="49"/>
    </row>
    <row r="862" spans="1:5" ht="10.5" customHeight="1" x14ac:dyDescent="0.3">
      <c r="A862" s="48">
        <f t="shared" si="15"/>
        <v>861</v>
      </c>
      <c r="B862" s="49"/>
      <c r="C862" s="49"/>
      <c r="D862" s="49"/>
      <c r="E862" s="49"/>
    </row>
    <row r="863" spans="1:5" ht="10.5" customHeight="1" x14ac:dyDescent="0.3">
      <c r="A863" s="48">
        <f t="shared" si="15"/>
        <v>862</v>
      </c>
      <c r="B863" s="49"/>
      <c r="C863" s="49"/>
      <c r="D863" s="49"/>
      <c r="E863" s="49"/>
    </row>
    <row r="864" spans="1:5" ht="10.5" customHeight="1" x14ac:dyDescent="0.3">
      <c r="A864" s="48">
        <f t="shared" si="15"/>
        <v>863</v>
      </c>
      <c r="B864" s="49"/>
      <c r="C864" s="49"/>
      <c r="D864" s="49"/>
      <c r="E864" s="49"/>
    </row>
    <row r="865" spans="1:5" ht="10.5" customHeight="1" x14ac:dyDescent="0.3">
      <c r="A865" s="48">
        <f t="shared" si="15"/>
        <v>864</v>
      </c>
      <c r="B865" s="49"/>
      <c r="C865" s="49"/>
      <c r="D865" s="49"/>
      <c r="E865" s="49"/>
    </row>
    <row r="866" spans="1:5" ht="10.5" customHeight="1" x14ac:dyDescent="0.3">
      <c r="A866" s="48">
        <f t="shared" si="15"/>
        <v>865</v>
      </c>
      <c r="B866" s="49"/>
      <c r="C866" s="49"/>
      <c r="D866" s="49"/>
      <c r="E866" s="49"/>
    </row>
    <row r="867" spans="1:5" ht="10.5" customHeight="1" x14ac:dyDescent="0.3">
      <c r="A867" s="48">
        <f t="shared" si="15"/>
        <v>866</v>
      </c>
      <c r="B867" s="49"/>
      <c r="C867" s="49"/>
      <c r="D867" s="49"/>
      <c r="E867" s="49"/>
    </row>
    <row r="868" spans="1:5" ht="10.5" customHeight="1" x14ac:dyDescent="0.3">
      <c r="A868" s="48">
        <f t="shared" si="15"/>
        <v>867</v>
      </c>
      <c r="B868" s="49"/>
      <c r="C868" s="49"/>
      <c r="D868" s="49"/>
      <c r="E868" s="49"/>
    </row>
    <row r="869" spans="1:5" ht="10.5" customHeight="1" x14ac:dyDescent="0.3">
      <c r="A869" s="48">
        <f t="shared" si="15"/>
        <v>868</v>
      </c>
      <c r="B869" s="49"/>
      <c r="C869" s="49"/>
      <c r="D869" s="49"/>
      <c r="E869" s="49"/>
    </row>
    <row r="870" spans="1:5" ht="10.5" customHeight="1" x14ac:dyDescent="0.3">
      <c r="A870" s="48">
        <f t="shared" si="15"/>
        <v>869</v>
      </c>
      <c r="B870" s="49"/>
      <c r="C870" s="49"/>
      <c r="D870" s="49"/>
      <c r="E870" s="49"/>
    </row>
    <row r="871" spans="1:5" ht="10.5" customHeight="1" x14ac:dyDescent="0.3">
      <c r="A871" s="48">
        <f t="shared" si="15"/>
        <v>870</v>
      </c>
      <c r="B871" s="49"/>
      <c r="C871" s="49"/>
      <c r="D871" s="49"/>
      <c r="E871" s="49"/>
    </row>
    <row r="872" spans="1:5" ht="10.5" customHeight="1" x14ac:dyDescent="0.3">
      <c r="A872" s="48">
        <f t="shared" si="15"/>
        <v>871</v>
      </c>
      <c r="B872" s="49"/>
      <c r="C872" s="49"/>
      <c r="D872" s="49"/>
      <c r="E872" s="49"/>
    </row>
    <row r="873" spans="1:5" ht="10.5" customHeight="1" x14ac:dyDescent="0.3">
      <c r="A873" s="48">
        <f t="shared" si="15"/>
        <v>872</v>
      </c>
      <c r="B873" s="49"/>
      <c r="C873" s="49"/>
      <c r="D873" s="49"/>
      <c r="E873" s="49"/>
    </row>
    <row r="874" spans="1:5" ht="10.5" customHeight="1" x14ac:dyDescent="0.3">
      <c r="A874" s="48">
        <f t="shared" si="15"/>
        <v>873</v>
      </c>
      <c r="B874" s="49"/>
      <c r="C874" s="49"/>
      <c r="D874" s="49"/>
      <c r="E874" s="49"/>
    </row>
    <row r="875" spans="1:5" ht="10.5" customHeight="1" x14ac:dyDescent="0.3">
      <c r="A875" s="48">
        <f t="shared" si="15"/>
        <v>874</v>
      </c>
      <c r="B875" s="49"/>
      <c r="C875" s="49"/>
      <c r="D875" s="49"/>
      <c r="E875" s="49"/>
    </row>
    <row r="876" spans="1:5" ht="10.5" customHeight="1" x14ac:dyDescent="0.3">
      <c r="A876" s="48">
        <f t="shared" si="15"/>
        <v>875</v>
      </c>
      <c r="B876" s="49"/>
      <c r="C876" s="49"/>
      <c r="D876" s="49"/>
      <c r="E876" s="49"/>
    </row>
    <row r="877" spans="1:5" ht="10.5" customHeight="1" x14ac:dyDescent="0.3">
      <c r="A877" s="48">
        <f t="shared" si="15"/>
        <v>876</v>
      </c>
      <c r="B877" s="49"/>
      <c r="C877" s="49"/>
      <c r="D877" s="49"/>
      <c r="E877" s="49"/>
    </row>
    <row r="878" spans="1:5" ht="10.5" customHeight="1" x14ac:dyDescent="0.3">
      <c r="A878" s="48">
        <f t="shared" si="15"/>
        <v>877</v>
      </c>
      <c r="B878" s="49"/>
      <c r="C878" s="49"/>
      <c r="D878" s="49"/>
      <c r="E878" s="49"/>
    </row>
    <row r="879" spans="1:5" ht="10.5" customHeight="1" x14ac:dyDescent="0.3">
      <c r="A879" s="48">
        <f t="shared" si="15"/>
        <v>878</v>
      </c>
      <c r="B879" s="49"/>
      <c r="C879" s="49"/>
      <c r="D879" s="49"/>
      <c r="E879" s="49"/>
    </row>
    <row r="880" spans="1:5" ht="10.5" customHeight="1" x14ac:dyDescent="0.3">
      <c r="A880" s="48">
        <f t="shared" si="15"/>
        <v>879</v>
      </c>
      <c r="B880" s="49"/>
      <c r="C880" s="49"/>
      <c r="D880" s="49"/>
      <c r="E880" s="49"/>
    </row>
    <row r="881" spans="1:5" ht="10.5" customHeight="1" x14ac:dyDescent="0.3">
      <c r="A881" s="48">
        <f t="shared" si="15"/>
        <v>880</v>
      </c>
      <c r="B881" s="49"/>
      <c r="C881" s="49"/>
      <c r="D881" s="49"/>
      <c r="E881" s="49"/>
    </row>
    <row r="882" spans="1:5" ht="10.5" customHeight="1" x14ac:dyDescent="0.3">
      <c r="A882" s="48">
        <f t="shared" si="15"/>
        <v>881</v>
      </c>
      <c r="B882" s="49"/>
      <c r="C882" s="49"/>
      <c r="D882" s="49"/>
      <c r="E882" s="49"/>
    </row>
    <row r="883" spans="1:5" ht="10.5" customHeight="1" x14ac:dyDescent="0.3">
      <c r="A883" s="48">
        <f t="shared" si="15"/>
        <v>882</v>
      </c>
      <c r="B883" s="49"/>
      <c r="C883" s="49"/>
      <c r="D883" s="49"/>
      <c r="E883" s="49"/>
    </row>
    <row r="884" spans="1:5" ht="10.5" customHeight="1" x14ac:dyDescent="0.3">
      <c r="A884" s="48">
        <f t="shared" si="15"/>
        <v>883</v>
      </c>
      <c r="B884" s="49"/>
      <c r="C884" s="49"/>
      <c r="D884" s="49"/>
      <c r="E884" s="49"/>
    </row>
    <row r="885" spans="1:5" ht="10.5" customHeight="1" x14ac:dyDescent="0.3">
      <c r="A885" s="48">
        <f t="shared" si="15"/>
        <v>884</v>
      </c>
      <c r="B885" s="49"/>
      <c r="C885" s="49"/>
      <c r="D885" s="49"/>
      <c r="E885" s="49"/>
    </row>
    <row r="886" spans="1:5" ht="10.5" customHeight="1" x14ac:dyDescent="0.3">
      <c r="A886" s="48">
        <f t="shared" si="15"/>
        <v>885</v>
      </c>
      <c r="B886" s="49"/>
      <c r="C886" s="49"/>
      <c r="D886" s="49"/>
      <c r="E886" s="49"/>
    </row>
    <row r="887" spans="1:5" ht="10.5" customHeight="1" x14ac:dyDescent="0.3">
      <c r="A887" s="48">
        <f t="shared" si="15"/>
        <v>886</v>
      </c>
      <c r="B887" s="49"/>
      <c r="C887" s="49"/>
      <c r="D887" s="49"/>
      <c r="E887" s="49"/>
    </row>
    <row r="888" spans="1:5" ht="10.5" customHeight="1" x14ac:dyDescent="0.3">
      <c r="A888" s="48">
        <f t="shared" si="15"/>
        <v>887</v>
      </c>
      <c r="B888" s="49"/>
      <c r="C888" s="49"/>
      <c r="D888" s="49"/>
      <c r="E888" s="49"/>
    </row>
    <row r="889" spans="1:5" ht="10.5" customHeight="1" x14ac:dyDescent="0.3">
      <c r="A889" s="48">
        <f t="shared" si="15"/>
        <v>888</v>
      </c>
      <c r="B889" s="49"/>
      <c r="C889" s="49"/>
      <c r="D889" s="49"/>
      <c r="E889" s="49"/>
    </row>
    <row r="890" spans="1:5" ht="10.5" customHeight="1" x14ac:dyDescent="0.3">
      <c r="A890" s="48">
        <f t="shared" si="15"/>
        <v>889</v>
      </c>
      <c r="B890" s="49"/>
      <c r="C890" s="49"/>
      <c r="D890" s="49"/>
      <c r="E890" s="49"/>
    </row>
    <row r="891" spans="1:5" ht="10.5" customHeight="1" x14ac:dyDescent="0.3">
      <c r="A891" s="48">
        <f t="shared" si="15"/>
        <v>890</v>
      </c>
      <c r="B891" s="49"/>
      <c r="C891" s="49"/>
      <c r="D891" s="49"/>
      <c r="E891" s="49"/>
    </row>
    <row r="892" spans="1:5" ht="10.5" customHeight="1" x14ac:dyDescent="0.3">
      <c r="A892" s="48">
        <f t="shared" si="15"/>
        <v>891</v>
      </c>
      <c r="B892" s="49"/>
      <c r="C892" s="49"/>
      <c r="D892" s="49"/>
      <c r="E892" s="49"/>
    </row>
    <row r="893" spans="1:5" ht="10.5" customHeight="1" x14ac:dyDescent="0.3">
      <c r="A893" s="48">
        <f t="shared" si="15"/>
        <v>892</v>
      </c>
      <c r="B893" s="49"/>
      <c r="C893" s="49"/>
      <c r="D893" s="49"/>
      <c r="E893" s="49"/>
    </row>
    <row r="894" spans="1:5" ht="10.5" customHeight="1" x14ac:dyDescent="0.3">
      <c r="A894" s="48">
        <f t="shared" si="15"/>
        <v>893</v>
      </c>
      <c r="B894" s="50"/>
      <c r="C894" s="50"/>
      <c r="D894" s="49"/>
      <c r="E894" s="50"/>
    </row>
    <row r="895" spans="1:5" ht="10.5" customHeight="1" x14ac:dyDescent="0.3">
      <c r="A895" s="48">
        <f t="shared" si="15"/>
        <v>894</v>
      </c>
      <c r="B895" s="49"/>
      <c r="C895" s="49"/>
      <c r="D895" s="49"/>
      <c r="E895" s="49"/>
    </row>
    <row r="896" spans="1:5" ht="10.5" customHeight="1" x14ac:dyDescent="0.3">
      <c r="A896" s="48">
        <f t="shared" si="15"/>
        <v>895</v>
      </c>
      <c r="B896" s="49"/>
      <c r="C896" s="49"/>
      <c r="D896" s="49"/>
      <c r="E896" s="49"/>
    </row>
    <row r="897" spans="1:5" ht="10.5" customHeight="1" x14ac:dyDescent="0.3">
      <c r="A897" s="48">
        <f t="shared" si="15"/>
        <v>896</v>
      </c>
      <c r="B897" s="49"/>
      <c r="C897" s="49"/>
      <c r="D897" s="49"/>
      <c r="E897" s="49"/>
    </row>
    <row r="898" spans="1:5" ht="10.5" customHeight="1" x14ac:dyDescent="0.3">
      <c r="A898" s="48">
        <f t="shared" si="15"/>
        <v>897</v>
      </c>
      <c r="B898" s="49"/>
      <c r="C898" s="49"/>
      <c r="D898" s="49"/>
      <c r="E898" s="49"/>
    </row>
    <row r="899" spans="1:5" ht="10.5" customHeight="1" x14ac:dyDescent="0.3">
      <c r="A899" s="48">
        <f t="shared" ref="A899:A962" si="16">A898+1</f>
        <v>898</v>
      </c>
      <c r="B899" s="49"/>
      <c r="C899" s="49"/>
      <c r="D899" s="49"/>
      <c r="E899" s="49"/>
    </row>
    <row r="900" spans="1:5" ht="10.5" customHeight="1" x14ac:dyDescent="0.3">
      <c r="A900" s="48">
        <f t="shared" si="16"/>
        <v>899</v>
      </c>
      <c r="B900" s="49"/>
      <c r="C900" s="49"/>
      <c r="D900" s="49"/>
      <c r="E900" s="49"/>
    </row>
    <row r="901" spans="1:5" ht="10.5" customHeight="1" x14ac:dyDescent="0.3">
      <c r="A901" s="48">
        <f t="shared" si="16"/>
        <v>900</v>
      </c>
      <c r="B901" s="49"/>
      <c r="C901" s="49"/>
      <c r="D901" s="49"/>
      <c r="E901" s="49"/>
    </row>
    <row r="902" spans="1:5" ht="10.5" customHeight="1" x14ac:dyDescent="0.3">
      <c r="A902" s="48">
        <f t="shared" si="16"/>
        <v>901</v>
      </c>
      <c r="B902" s="49"/>
      <c r="C902" s="49"/>
      <c r="D902" s="49"/>
      <c r="E902" s="49"/>
    </row>
    <row r="903" spans="1:5" ht="10.5" customHeight="1" x14ac:dyDescent="0.3">
      <c r="A903" s="48">
        <f t="shared" si="16"/>
        <v>902</v>
      </c>
      <c r="B903" s="49"/>
      <c r="C903" s="49"/>
      <c r="D903" s="49"/>
      <c r="E903" s="49"/>
    </row>
    <row r="904" spans="1:5" ht="10.5" customHeight="1" x14ac:dyDescent="0.3">
      <c r="A904" s="48">
        <f t="shared" si="16"/>
        <v>903</v>
      </c>
      <c r="B904" s="49"/>
      <c r="C904" s="49"/>
      <c r="D904" s="49"/>
      <c r="E904" s="49"/>
    </row>
    <row r="905" spans="1:5" ht="10.5" customHeight="1" x14ac:dyDescent="0.3">
      <c r="A905" s="48">
        <f t="shared" si="16"/>
        <v>904</v>
      </c>
      <c r="B905" s="49"/>
      <c r="C905" s="49"/>
      <c r="D905" s="49"/>
      <c r="E905" s="49"/>
    </row>
    <row r="906" spans="1:5" ht="10.5" customHeight="1" x14ac:dyDescent="0.3">
      <c r="A906" s="48">
        <f t="shared" si="16"/>
        <v>905</v>
      </c>
      <c r="B906" s="49"/>
      <c r="C906" s="49"/>
      <c r="D906" s="49"/>
      <c r="E906" s="49"/>
    </row>
    <row r="907" spans="1:5" ht="10.5" customHeight="1" x14ac:dyDescent="0.3">
      <c r="A907" s="48">
        <f t="shared" si="16"/>
        <v>906</v>
      </c>
      <c r="B907" s="49"/>
      <c r="C907" s="49"/>
      <c r="D907" s="49"/>
      <c r="E907" s="49"/>
    </row>
    <row r="908" spans="1:5" ht="10.5" customHeight="1" x14ac:dyDescent="0.3">
      <c r="A908" s="48">
        <f t="shared" si="16"/>
        <v>907</v>
      </c>
      <c r="B908" s="49"/>
      <c r="C908" s="49"/>
      <c r="D908" s="49"/>
      <c r="E908" s="49"/>
    </row>
    <row r="909" spans="1:5" ht="10.5" customHeight="1" x14ac:dyDescent="0.3">
      <c r="A909" s="48">
        <f t="shared" si="16"/>
        <v>908</v>
      </c>
      <c r="B909" s="49"/>
      <c r="C909" s="49"/>
      <c r="D909" s="49"/>
      <c r="E909" s="49"/>
    </row>
    <row r="910" spans="1:5" ht="10.5" customHeight="1" x14ac:dyDescent="0.3">
      <c r="A910" s="48">
        <f t="shared" si="16"/>
        <v>909</v>
      </c>
      <c r="B910" s="49"/>
      <c r="C910" s="49"/>
      <c r="D910" s="49"/>
      <c r="E910" s="49"/>
    </row>
    <row r="911" spans="1:5" ht="10.5" customHeight="1" x14ac:dyDescent="0.3">
      <c r="A911" s="48">
        <f t="shared" si="16"/>
        <v>910</v>
      </c>
      <c r="B911" s="49"/>
      <c r="C911" s="49"/>
      <c r="D911" s="49"/>
      <c r="E911" s="49"/>
    </row>
    <row r="912" spans="1:5" ht="10.5" customHeight="1" x14ac:dyDescent="0.3">
      <c r="A912" s="48">
        <f t="shared" si="16"/>
        <v>911</v>
      </c>
      <c r="B912" s="49"/>
      <c r="C912" s="49"/>
      <c r="D912" s="49"/>
      <c r="E912" s="49"/>
    </row>
    <row r="913" spans="1:5" ht="10.5" customHeight="1" x14ac:dyDescent="0.3">
      <c r="A913" s="48">
        <f t="shared" si="16"/>
        <v>912</v>
      </c>
      <c r="B913" s="49"/>
      <c r="C913" s="49"/>
      <c r="D913" s="49"/>
      <c r="E913" s="49"/>
    </row>
    <row r="914" spans="1:5" ht="10.5" customHeight="1" x14ac:dyDescent="0.3">
      <c r="A914" s="48">
        <f t="shared" si="16"/>
        <v>913</v>
      </c>
      <c r="B914" s="49"/>
      <c r="C914" s="49"/>
      <c r="D914" s="49"/>
      <c r="E914" s="49"/>
    </row>
    <row r="915" spans="1:5" ht="10.5" customHeight="1" x14ac:dyDescent="0.3">
      <c r="A915" s="48">
        <f t="shared" si="16"/>
        <v>914</v>
      </c>
      <c r="B915" s="49"/>
      <c r="C915" s="49"/>
      <c r="D915" s="49"/>
      <c r="E915" s="49"/>
    </row>
    <row r="916" spans="1:5" ht="10.5" customHeight="1" x14ac:dyDescent="0.3">
      <c r="A916" s="48">
        <f t="shared" si="16"/>
        <v>915</v>
      </c>
      <c r="B916" s="49"/>
      <c r="C916" s="49"/>
      <c r="D916" s="49"/>
      <c r="E916" s="49"/>
    </row>
    <row r="917" spans="1:5" ht="10.5" customHeight="1" x14ac:dyDescent="0.3">
      <c r="A917" s="48">
        <f t="shared" si="16"/>
        <v>916</v>
      </c>
      <c r="B917" s="49"/>
      <c r="C917" s="49"/>
      <c r="D917" s="49"/>
      <c r="E917" s="49"/>
    </row>
    <row r="918" spans="1:5" ht="10.5" customHeight="1" x14ac:dyDescent="0.3">
      <c r="A918" s="48">
        <f t="shared" si="16"/>
        <v>917</v>
      </c>
      <c r="B918" s="49"/>
      <c r="C918" s="49"/>
      <c r="D918" s="49"/>
      <c r="E918" s="49"/>
    </row>
    <row r="919" spans="1:5" ht="10.5" customHeight="1" x14ac:dyDescent="0.3">
      <c r="A919" s="48">
        <f t="shared" si="16"/>
        <v>918</v>
      </c>
      <c r="B919" s="49"/>
      <c r="C919" s="49"/>
      <c r="D919" s="49"/>
      <c r="E919" s="49"/>
    </row>
    <row r="920" spans="1:5" ht="10.5" customHeight="1" x14ac:dyDescent="0.3">
      <c r="A920" s="48">
        <f t="shared" si="16"/>
        <v>919</v>
      </c>
      <c r="B920" s="49"/>
      <c r="C920" s="49"/>
      <c r="D920" s="49"/>
      <c r="E920" s="49"/>
    </row>
    <row r="921" spans="1:5" ht="10.5" customHeight="1" x14ac:dyDescent="0.3">
      <c r="A921" s="48">
        <f t="shared" si="16"/>
        <v>920</v>
      </c>
      <c r="B921" s="49"/>
      <c r="C921" s="49"/>
      <c r="D921" s="49"/>
      <c r="E921" s="49"/>
    </row>
    <row r="922" spans="1:5" ht="10.5" customHeight="1" x14ac:dyDescent="0.3">
      <c r="A922" s="48">
        <f t="shared" si="16"/>
        <v>921</v>
      </c>
      <c r="B922" s="49"/>
      <c r="C922" s="49"/>
      <c r="D922" s="49"/>
      <c r="E922" s="49"/>
    </row>
    <row r="923" spans="1:5" ht="10.5" customHeight="1" x14ac:dyDescent="0.3">
      <c r="A923" s="48">
        <f t="shared" si="16"/>
        <v>922</v>
      </c>
      <c r="B923" s="49"/>
      <c r="C923" s="49"/>
      <c r="D923" s="49"/>
      <c r="E923" s="49"/>
    </row>
    <row r="924" spans="1:5" ht="10.5" customHeight="1" x14ac:dyDescent="0.3">
      <c r="A924" s="48">
        <f t="shared" si="16"/>
        <v>923</v>
      </c>
      <c r="B924" s="49"/>
      <c r="C924" s="49"/>
      <c r="D924" s="49"/>
      <c r="E924" s="49"/>
    </row>
    <row r="925" spans="1:5" ht="10.5" customHeight="1" x14ac:dyDescent="0.3">
      <c r="A925" s="48">
        <f t="shared" si="16"/>
        <v>924</v>
      </c>
      <c r="B925" s="49"/>
      <c r="C925" s="49"/>
      <c r="D925" s="49"/>
      <c r="E925" s="49"/>
    </row>
    <row r="926" spans="1:5" ht="10.5" customHeight="1" x14ac:dyDescent="0.3">
      <c r="A926" s="48">
        <f t="shared" si="16"/>
        <v>925</v>
      </c>
      <c r="B926" s="49"/>
      <c r="C926" s="49"/>
      <c r="D926" s="49"/>
      <c r="E926" s="49"/>
    </row>
    <row r="927" spans="1:5" ht="10.5" customHeight="1" x14ac:dyDescent="0.3">
      <c r="A927" s="48">
        <f t="shared" si="16"/>
        <v>926</v>
      </c>
      <c r="B927" s="49"/>
      <c r="C927" s="49"/>
      <c r="D927" s="49"/>
      <c r="E927" s="49"/>
    </row>
    <row r="928" spans="1:5" ht="10.5" customHeight="1" x14ac:dyDescent="0.3">
      <c r="A928" s="48">
        <f t="shared" si="16"/>
        <v>927</v>
      </c>
      <c r="B928" s="49"/>
      <c r="C928" s="49"/>
      <c r="D928" s="49"/>
      <c r="E928" s="49"/>
    </row>
    <row r="929" spans="1:5" ht="10.5" customHeight="1" x14ac:dyDescent="0.3">
      <c r="A929" s="48">
        <f t="shared" si="16"/>
        <v>928</v>
      </c>
      <c r="B929" s="49"/>
      <c r="C929" s="49"/>
      <c r="D929" s="49"/>
      <c r="E929" s="49"/>
    </row>
    <row r="930" spans="1:5" ht="10.5" customHeight="1" x14ac:dyDescent="0.3">
      <c r="A930" s="48">
        <f t="shared" si="16"/>
        <v>929</v>
      </c>
      <c r="B930" s="49"/>
      <c r="C930" s="49"/>
      <c r="D930" s="49"/>
      <c r="E930" s="49"/>
    </row>
    <row r="931" spans="1:5" ht="10.5" customHeight="1" x14ac:dyDescent="0.3">
      <c r="A931" s="48">
        <f t="shared" si="16"/>
        <v>930</v>
      </c>
      <c r="B931" s="49"/>
      <c r="C931" s="49"/>
      <c r="D931" s="49"/>
      <c r="E931" s="49"/>
    </row>
    <row r="932" spans="1:5" ht="10.5" customHeight="1" x14ac:dyDescent="0.3">
      <c r="A932" s="48">
        <f t="shared" si="16"/>
        <v>931</v>
      </c>
      <c r="B932" s="49"/>
      <c r="C932" s="49"/>
      <c r="D932" s="49"/>
      <c r="E932" s="49"/>
    </row>
    <row r="933" spans="1:5" ht="10.5" customHeight="1" x14ac:dyDescent="0.3">
      <c r="A933" s="48">
        <f t="shared" si="16"/>
        <v>932</v>
      </c>
      <c r="B933" s="49"/>
      <c r="C933" s="49"/>
      <c r="D933" s="49"/>
      <c r="E933" s="49"/>
    </row>
    <row r="934" spans="1:5" ht="10.5" customHeight="1" x14ac:dyDescent="0.3">
      <c r="A934" s="48">
        <f t="shared" si="16"/>
        <v>933</v>
      </c>
      <c r="B934" s="49"/>
      <c r="C934" s="49"/>
      <c r="D934" s="49"/>
      <c r="E934" s="49"/>
    </row>
    <row r="935" spans="1:5" ht="10.5" customHeight="1" x14ac:dyDescent="0.3">
      <c r="A935" s="48">
        <f t="shared" si="16"/>
        <v>934</v>
      </c>
      <c r="B935" s="49"/>
      <c r="C935" s="49"/>
      <c r="D935" s="49"/>
      <c r="E935" s="49"/>
    </row>
    <row r="936" spans="1:5" ht="10.5" customHeight="1" x14ac:dyDescent="0.3">
      <c r="A936" s="48">
        <f t="shared" si="16"/>
        <v>935</v>
      </c>
      <c r="B936" s="49"/>
      <c r="C936" s="49"/>
      <c r="D936" s="49"/>
      <c r="E936" s="49"/>
    </row>
    <row r="937" spans="1:5" ht="10.5" customHeight="1" x14ac:dyDescent="0.3">
      <c r="A937" s="48">
        <f t="shared" si="16"/>
        <v>936</v>
      </c>
      <c r="B937" s="49"/>
      <c r="C937" s="49"/>
      <c r="D937" s="49"/>
      <c r="E937" s="49"/>
    </row>
    <row r="938" spans="1:5" ht="10.5" customHeight="1" x14ac:dyDescent="0.3">
      <c r="A938" s="48">
        <f t="shared" si="16"/>
        <v>937</v>
      </c>
      <c r="B938" s="49"/>
      <c r="C938" s="49"/>
      <c r="D938" s="49"/>
      <c r="E938" s="49"/>
    </row>
    <row r="939" spans="1:5" ht="10.5" customHeight="1" x14ac:dyDescent="0.3">
      <c r="A939" s="48">
        <f t="shared" si="16"/>
        <v>938</v>
      </c>
      <c r="B939" s="49"/>
      <c r="C939" s="49"/>
      <c r="D939" s="49"/>
      <c r="E939" s="49"/>
    </row>
    <row r="940" spans="1:5" ht="10.5" customHeight="1" x14ac:dyDescent="0.3">
      <c r="A940" s="48">
        <f t="shared" si="16"/>
        <v>939</v>
      </c>
      <c r="B940" s="49"/>
      <c r="C940" s="49"/>
      <c r="D940" s="49"/>
      <c r="E940" s="49"/>
    </row>
    <row r="941" spans="1:5" ht="10.5" customHeight="1" x14ac:dyDescent="0.3">
      <c r="A941" s="48">
        <f t="shared" si="16"/>
        <v>940</v>
      </c>
      <c r="B941" s="49"/>
      <c r="C941" s="49"/>
      <c r="D941" s="49"/>
      <c r="E941" s="49"/>
    </row>
    <row r="942" spans="1:5" ht="10.5" customHeight="1" x14ac:dyDescent="0.3">
      <c r="A942" s="48">
        <f t="shared" si="16"/>
        <v>941</v>
      </c>
      <c r="B942" s="49"/>
      <c r="C942" s="49"/>
      <c r="D942" s="49"/>
      <c r="E942" s="49"/>
    </row>
    <row r="943" spans="1:5" ht="10.5" customHeight="1" x14ac:dyDescent="0.3">
      <c r="A943" s="48">
        <f t="shared" si="16"/>
        <v>942</v>
      </c>
      <c r="B943" s="49"/>
      <c r="C943" s="49"/>
      <c r="D943" s="49"/>
      <c r="E943" s="49"/>
    </row>
    <row r="944" spans="1:5" ht="10.5" customHeight="1" x14ac:dyDescent="0.3">
      <c r="A944" s="48">
        <f t="shared" si="16"/>
        <v>943</v>
      </c>
      <c r="B944" s="49"/>
      <c r="C944" s="49"/>
      <c r="D944" s="49"/>
      <c r="E944" s="49"/>
    </row>
    <row r="945" spans="1:5" ht="10.5" customHeight="1" x14ac:dyDescent="0.3">
      <c r="A945" s="48">
        <f t="shared" si="16"/>
        <v>944</v>
      </c>
      <c r="B945" s="49"/>
      <c r="C945" s="49"/>
      <c r="D945" s="49"/>
      <c r="E945" s="49"/>
    </row>
    <row r="946" spans="1:5" ht="10.5" customHeight="1" x14ac:dyDescent="0.3">
      <c r="A946" s="48">
        <f t="shared" si="16"/>
        <v>945</v>
      </c>
      <c r="B946" s="49"/>
      <c r="C946" s="49"/>
      <c r="D946" s="49"/>
      <c r="E946" s="49"/>
    </row>
    <row r="947" spans="1:5" ht="10.5" customHeight="1" x14ac:dyDescent="0.3">
      <c r="A947" s="48">
        <f t="shared" si="16"/>
        <v>946</v>
      </c>
      <c r="B947" s="49"/>
      <c r="C947" s="49"/>
      <c r="D947" s="49"/>
      <c r="E947" s="49"/>
    </row>
    <row r="948" spans="1:5" ht="10.5" customHeight="1" x14ac:dyDescent="0.3">
      <c r="A948" s="48">
        <f t="shared" si="16"/>
        <v>947</v>
      </c>
      <c r="B948" s="49"/>
      <c r="C948" s="49"/>
      <c r="D948" s="49"/>
      <c r="E948" s="49"/>
    </row>
    <row r="949" spans="1:5" ht="10.5" customHeight="1" x14ac:dyDescent="0.3">
      <c r="A949" s="48">
        <f t="shared" si="16"/>
        <v>948</v>
      </c>
      <c r="B949" s="49"/>
      <c r="C949" s="51"/>
      <c r="D949" s="49"/>
      <c r="E949" s="49"/>
    </row>
    <row r="950" spans="1:5" ht="10.5" customHeight="1" x14ac:dyDescent="0.3">
      <c r="A950" s="48">
        <f t="shared" si="16"/>
        <v>949</v>
      </c>
      <c r="B950" s="49"/>
      <c r="C950" s="49"/>
      <c r="D950" s="49"/>
      <c r="E950" s="49"/>
    </row>
    <row r="951" spans="1:5" ht="10.5" customHeight="1" x14ac:dyDescent="0.3">
      <c r="A951" s="48">
        <f t="shared" si="16"/>
        <v>950</v>
      </c>
      <c r="B951" s="49"/>
      <c r="C951" s="49"/>
      <c r="D951" s="49"/>
      <c r="E951" s="49"/>
    </row>
    <row r="952" spans="1:5" ht="10.5" customHeight="1" x14ac:dyDescent="0.3">
      <c r="A952" s="48">
        <f t="shared" si="16"/>
        <v>951</v>
      </c>
      <c r="B952" s="49"/>
      <c r="C952" s="49"/>
      <c r="D952" s="49"/>
      <c r="E952" s="49"/>
    </row>
    <row r="953" spans="1:5" ht="10.5" customHeight="1" x14ac:dyDescent="0.3">
      <c r="A953" s="48">
        <f t="shared" si="16"/>
        <v>952</v>
      </c>
      <c r="B953" s="49"/>
      <c r="C953" s="49"/>
      <c r="D953" s="49"/>
      <c r="E953" s="49"/>
    </row>
    <row r="954" spans="1:5" ht="10.5" customHeight="1" x14ac:dyDescent="0.3">
      <c r="A954" s="48">
        <f t="shared" si="16"/>
        <v>953</v>
      </c>
      <c r="B954" s="49"/>
      <c r="C954" s="49"/>
      <c r="D954" s="49"/>
      <c r="E954" s="49"/>
    </row>
    <row r="955" spans="1:5" ht="10.5" customHeight="1" x14ac:dyDescent="0.3">
      <c r="A955" s="48">
        <f t="shared" si="16"/>
        <v>954</v>
      </c>
      <c r="B955" s="49"/>
      <c r="C955" s="49"/>
      <c r="D955" s="49"/>
      <c r="E955" s="49"/>
    </row>
    <row r="956" spans="1:5" ht="10.5" customHeight="1" x14ac:dyDescent="0.3">
      <c r="A956" s="48">
        <f t="shared" si="16"/>
        <v>955</v>
      </c>
      <c r="B956" s="49"/>
      <c r="C956" s="49"/>
      <c r="D956" s="49"/>
      <c r="E956" s="49"/>
    </row>
    <row r="957" spans="1:5" ht="10.5" customHeight="1" x14ac:dyDescent="0.3">
      <c r="A957" s="48">
        <f t="shared" si="16"/>
        <v>956</v>
      </c>
      <c r="B957" s="49"/>
      <c r="C957" s="49"/>
      <c r="D957" s="49"/>
      <c r="E957" s="49"/>
    </row>
    <row r="958" spans="1:5" ht="10.5" customHeight="1" x14ac:dyDescent="0.3">
      <c r="A958" s="48">
        <f t="shared" si="16"/>
        <v>957</v>
      </c>
      <c r="B958" s="49"/>
      <c r="C958" s="49"/>
      <c r="D958" s="49"/>
      <c r="E958" s="49"/>
    </row>
    <row r="959" spans="1:5" ht="10.5" customHeight="1" x14ac:dyDescent="0.3">
      <c r="A959" s="48">
        <f t="shared" si="16"/>
        <v>958</v>
      </c>
      <c r="B959" s="49"/>
      <c r="C959" s="49"/>
      <c r="D959" s="49"/>
      <c r="E959" s="49"/>
    </row>
    <row r="960" spans="1:5" ht="10.5" customHeight="1" x14ac:dyDescent="0.3">
      <c r="A960" s="48">
        <f t="shared" si="16"/>
        <v>959</v>
      </c>
      <c r="B960" s="49"/>
      <c r="C960" s="49"/>
      <c r="D960" s="49"/>
      <c r="E960" s="49"/>
    </row>
    <row r="961" spans="1:5" ht="10.5" customHeight="1" x14ac:dyDescent="0.3">
      <c r="A961" s="48">
        <f t="shared" si="16"/>
        <v>960</v>
      </c>
      <c r="B961" s="49"/>
      <c r="C961" s="49"/>
      <c r="D961" s="49"/>
      <c r="E961" s="49"/>
    </row>
    <row r="962" spans="1:5" ht="10.5" customHeight="1" x14ac:dyDescent="0.3">
      <c r="A962" s="48">
        <f t="shared" si="16"/>
        <v>961</v>
      </c>
      <c r="B962" s="49"/>
      <c r="C962" s="49"/>
      <c r="D962" s="49"/>
      <c r="E962" s="49"/>
    </row>
    <row r="963" spans="1:5" ht="10.5" customHeight="1" x14ac:dyDescent="0.3">
      <c r="A963" s="48">
        <f t="shared" ref="A963:A1026" si="17">A962+1</f>
        <v>962</v>
      </c>
      <c r="B963" s="49"/>
      <c r="C963" s="49"/>
      <c r="D963" s="49"/>
      <c r="E963" s="49"/>
    </row>
    <row r="964" spans="1:5" ht="10.5" customHeight="1" x14ac:dyDescent="0.3">
      <c r="A964" s="48">
        <f t="shared" si="17"/>
        <v>963</v>
      </c>
      <c r="B964" s="49"/>
      <c r="C964" s="49"/>
      <c r="D964" s="49"/>
      <c r="E964" s="49"/>
    </row>
    <row r="965" spans="1:5" ht="10.5" customHeight="1" x14ac:dyDescent="0.3">
      <c r="A965" s="48">
        <f t="shared" si="17"/>
        <v>964</v>
      </c>
      <c r="B965" s="49"/>
      <c r="C965" s="49"/>
      <c r="D965" s="49"/>
      <c r="E965" s="49"/>
    </row>
    <row r="966" spans="1:5" ht="10.5" customHeight="1" x14ac:dyDescent="0.3">
      <c r="A966" s="48">
        <f t="shared" si="17"/>
        <v>965</v>
      </c>
      <c r="B966" s="49"/>
      <c r="C966" s="49"/>
      <c r="D966" s="49"/>
      <c r="E966" s="49"/>
    </row>
    <row r="967" spans="1:5" ht="10.5" customHeight="1" x14ac:dyDescent="0.3">
      <c r="A967" s="48">
        <f t="shared" si="17"/>
        <v>966</v>
      </c>
      <c r="B967" s="49"/>
      <c r="C967" s="49"/>
      <c r="D967" s="49"/>
      <c r="E967" s="49"/>
    </row>
    <row r="968" spans="1:5" ht="10.5" customHeight="1" x14ac:dyDescent="0.3">
      <c r="A968" s="48">
        <f t="shared" si="17"/>
        <v>967</v>
      </c>
      <c r="B968" s="49"/>
      <c r="C968" s="49"/>
      <c r="D968" s="49"/>
      <c r="E968" s="49"/>
    </row>
    <row r="969" spans="1:5" ht="10.5" customHeight="1" x14ac:dyDescent="0.3">
      <c r="A969" s="48">
        <f t="shared" si="17"/>
        <v>968</v>
      </c>
      <c r="B969" s="49"/>
      <c r="C969" s="49"/>
      <c r="D969" s="49"/>
      <c r="E969" s="49"/>
    </row>
    <row r="970" spans="1:5" ht="10.5" customHeight="1" x14ac:dyDescent="0.3">
      <c r="A970" s="48">
        <f t="shared" si="17"/>
        <v>969</v>
      </c>
      <c r="B970" s="49"/>
      <c r="C970" s="49"/>
      <c r="D970" s="49"/>
      <c r="E970" s="49"/>
    </row>
    <row r="971" spans="1:5" ht="10.5" customHeight="1" x14ac:dyDescent="0.3">
      <c r="A971" s="48">
        <f t="shared" si="17"/>
        <v>970</v>
      </c>
      <c r="B971" s="49"/>
      <c r="C971" s="49"/>
      <c r="D971" s="49"/>
      <c r="E971" s="49"/>
    </row>
    <row r="972" spans="1:5" ht="10.5" customHeight="1" x14ac:dyDescent="0.3">
      <c r="A972" s="48">
        <f t="shared" si="17"/>
        <v>971</v>
      </c>
      <c r="B972" s="49"/>
      <c r="C972" s="49"/>
      <c r="D972" s="49"/>
      <c r="E972" s="49"/>
    </row>
    <row r="973" spans="1:5" ht="10.5" customHeight="1" x14ac:dyDescent="0.3">
      <c r="A973" s="48">
        <f t="shared" si="17"/>
        <v>972</v>
      </c>
      <c r="B973" s="49"/>
      <c r="C973" s="49"/>
      <c r="D973" s="49"/>
      <c r="E973" s="49"/>
    </row>
    <row r="974" spans="1:5" ht="10.5" customHeight="1" x14ac:dyDescent="0.3">
      <c r="A974" s="48">
        <f t="shared" si="17"/>
        <v>973</v>
      </c>
      <c r="B974" s="49"/>
      <c r="C974" s="49"/>
      <c r="D974" s="49"/>
      <c r="E974" s="49"/>
    </row>
    <row r="975" spans="1:5" ht="10.5" customHeight="1" x14ac:dyDescent="0.3">
      <c r="A975" s="48">
        <f t="shared" si="17"/>
        <v>974</v>
      </c>
      <c r="B975" s="49"/>
      <c r="C975" s="49"/>
      <c r="D975" s="49"/>
      <c r="E975" s="49"/>
    </row>
    <row r="976" spans="1:5" ht="10.5" customHeight="1" x14ac:dyDescent="0.3">
      <c r="A976" s="48">
        <f t="shared" si="17"/>
        <v>975</v>
      </c>
      <c r="B976" s="49"/>
      <c r="C976" s="49"/>
      <c r="D976" s="49"/>
      <c r="E976" s="49"/>
    </row>
    <row r="977" spans="1:5" ht="10.5" customHeight="1" x14ac:dyDescent="0.3">
      <c r="A977" s="48">
        <f t="shared" si="17"/>
        <v>976</v>
      </c>
      <c r="B977" s="49"/>
      <c r="C977" s="49"/>
      <c r="D977" s="49"/>
      <c r="E977" s="49"/>
    </row>
    <row r="978" spans="1:5" ht="10.5" customHeight="1" x14ac:dyDescent="0.3">
      <c r="A978" s="48">
        <f t="shared" si="17"/>
        <v>977</v>
      </c>
      <c r="B978" s="49"/>
      <c r="C978" s="49"/>
      <c r="D978" s="49"/>
      <c r="E978" s="49"/>
    </row>
    <row r="979" spans="1:5" ht="10.5" customHeight="1" x14ac:dyDescent="0.3">
      <c r="A979" s="48">
        <f t="shared" si="17"/>
        <v>978</v>
      </c>
      <c r="B979" s="49"/>
      <c r="C979" s="49"/>
      <c r="D979" s="49"/>
      <c r="E979" s="49"/>
    </row>
    <row r="980" spans="1:5" ht="10.5" customHeight="1" x14ac:dyDescent="0.3">
      <c r="A980" s="48">
        <f t="shared" si="17"/>
        <v>979</v>
      </c>
      <c r="B980" s="49"/>
      <c r="C980" s="49"/>
      <c r="D980" s="49"/>
      <c r="E980" s="49"/>
    </row>
    <row r="981" spans="1:5" ht="10.5" customHeight="1" x14ac:dyDescent="0.3">
      <c r="A981" s="48">
        <f t="shared" si="17"/>
        <v>980</v>
      </c>
      <c r="B981" s="49"/>
      <c r="C981" s="49"/>
      <c r="D981" s="49"/>
      <c r="E981" s="49"/>
    </row>
    <row r="982" spans="1:5" ht="10.5" customHeight="1" x14ac:dyDescent="0.3">
      <c r="A982" s="48">
        <f t="shared" si="17"/>
        <v>981</v>
      </c>
      <c r="B982" s="49"/>
      <c r="C982" s="49"/>
      <c r="D982" s="49"/>
      <c r="E982" s="49"/>
    </row>
    <row r="983" spans="1:5" ht="10.5" customHeight="1" x14ac:dyDescent="0.3">
      <c r="A983" s="48">
        <f t="shared" si="17"/>
        <v>982</v>
      </c>
      <c r="B983" s="49"/>
      <c r="C983" s="49"/>
      <c r="D983" s="49"/>
      <c r="E983" s="49"/>
    </row>
    <row r="984" spans="1:5" ht="10.5" customHeight="1" x14ac:dyDescent="0.3">
      <c r="A984" s="48">
        <f t="shared" si="17"/>
        <v>983</v>
      </c>
      <c r="B984" s="49"/>
      <c r="C984" s="49"/>
      <c r="D984" s="49"/>
      <c r="E984" s="49"/>
    </row>
    <row r="985" spans="1:5" ht="10.5" customHeight="1" x14ac:dyDescent="0.3">
      <c r="A985" s="48">
        <f t="shared" si="17"/>
        <v>984</v>
      </c>
      <c r="B985" s="49"/>
      <c r="C985" s="49"/>
      <c r="D985" s="49"/>
      <c r="E985" s="49"/>
    </row>
    <row r="986" spans="1:5" ht="10.5" customHeight="1" x14ac:dyDescent="0.3">
      <c r="A986" s="48">
        <f t="shared" si="17"/>
        <v>985</v>
      </c>
      <c r="B986" s="49"/>
      <c r="C986" s="49"/>
      <c r="D986" s="49"/>
      <c r="E986" s="49"/>
    </row>
    <row r="987" spans="1:5" ht="10.5" customHeight="1" x14ac:dyDescent="0.3">
      <c r="A987" s="48">
        <f t="shared" si="17"/>
        <v>986</v>
      </c>
      <c r="B987" s="49"/>
      <c r="C987" s="49"/>
      <c r="D987" s="49"/>
      <c r="E987" s="49"/>
    </row>
    <row r="988" spans="1:5" ht="10.5" customHeight="1" x14ac:dyDescent="0.3">
      <c r="A988" s="48">
        <f t="shared" si="17"/>
        <v>987</v>
      </c>
      <c r="B988" s="49"/>
      <c r="C988" s="49"/>
      <c r="D988" s="49"/>
      <c r="E988" s="49"/>
    </row>
    <row r="989" spans="1:5" ht="10.5" customHeight="1" x14ac:dyDescent="0.3">
      <c r="A989" s="48">
        <f t="shared" si="17"/>
        <v>988</v>
      </c>
      <c r="B989" s="49"/>
      <c r="C989" s="49"/>
      <c r="D989" s="49"/>
      <c r="E989" s="49"/>
    </row>
    <row r="990" spans="1:5" ht="10.5" customHeight="1" x14ac:dyDescent="0.3">
      <c r="A990" s="48">
        <f t="shared" si="17"/>
        <v>989</v>
      </c>
      <c r="B990" s="49"/>
      <c r="C990" s="49"/>
      <c r="D990" s="49"/>
      <c r="E990" s="49"/>
    </row>
    <row r="991" spans="1:5" ht="10.5" customHeight="1" x14ac:dyDescent="0.3">
      <c r="A991" s="48">
        <f t="shared" si="17"/>
        <v>990</v>
      </c>
      <c r="B991" s="49"/>
      <c r="C991" s="49"/>
      <c r="D991" s="49"/>
      <c r="E991" s="49"/>
    </row>
    <row r="992" spans="1:5" ht="10.5" customHeight="1" x14ac:dyDescent="0.3">
      <c r="A992" s="48">
        <f t="shared" si="17"/>
        <v>991</v>
      </c>
      <c r="B992" s="49"/>
      <c r="C992" s="49"/>
      <c r="D992" s="49"/>
      <c r="E992" s="49"/>
    </row>
    <row r="993" spans="1:5" ht="10.5" customHeight="1" x14ac:dyDescent="0.3">
      <c r="A993" s="48">
        <f t="shared" si="17"/>
        <v>992</v>
      </c>
      <c r="B993" s="49"/>
      <c r="C993" s="49"/>
      <c r="D993" s="49"/>
      <c r="E993" s="49"/>
    </row>
    <row r="994" spans="1:5" ht="10.5" customHeight="1" x14ac:dyDescent="0.3">
      <c r="A994" s="48">
        <f t="shared" si="17"/>
        <v>993</v>
      </c>
      <c r="B994" s="49"/>
      <c r="C994" s="49"/>
      <c r="D994" s="49"/>
      <c r="E994" s="49"/>
    </row>
    <row r="995" spans="1:5" ht="10.5" customHeight="1" x14ac:dyDescent="0.3">
      <c r="A995" s="48">
        <f t="shared" si="17"/>
        <v>994</v>
      </c>
      <c r="B995" s="49"/>
      <c r="C995" s="49"/>
      <c r="D995" s="49"/>
      <c r="E995" s="49"/>
    </row>
    <row r="996" spans="1:5" ht="10.5" customHeight="1" x14ac:dyDescent="0.3">
      <c r="A996" s="48">
        <f t="shared" si="17"/>
        <v>995</v>
      </c>
      <c r="B996" s="49"/>
      <c r="C996" s="49"/>
      <c r="D996" s="49"/>
      <c r="E996" s="49"/>
    </row>
    <row r="997" spans="1:5" ht="10.5" customHeight="1" x14ac:dyDescent="0.3">
      <c r="A997" s="48">
        <f t="shared" si="17"/>
        <v>996</v>
      </c>
      <c r="B997" s="49"/>
      <c r="C997" s="49"/>
      <c r="D997" s="49"/>
      <c r="E997" s="49"/>
    </row>
    <row r="998" spans="1:5" ht="10.5" customHeight="1" x14ac:dyDescent="0.3">
      <c r="A998" s="48">
        <f t="shared" si="17"/>
        <v>997</v>
      </c>
      <c r="B998" s="49"/>
      <c r="C998" s="49"/>
      <c r="D998" s="49"/>
      <c r="E998" s="49"/>
    </row>
    <row r="999" spans="1:5" ht="10.5" customHeight="1" x14ac:dyDescent="0.3">
      <c r="A999" s="48">
        <f t="shared" si="17"/>
        <v>998</v>
      </c>
      <c r="B999" s="49"/>
      <c r="C999" s="49"/>
      <c r="D999" s="49"/>
      <c r="E999" s="49"/>
    </row>
    <row r="1000" spans="1:5" ht="10.5" customHeight="1" x14ac:dyDescent="0.3">
      <c r="A1000" s="48">
        <f t="shared" si="17"/>
        <v>999</v>
      </c>
      <c r="B1000" s="49"/>
      <c r="C1000" s="49"/>
      <c r="D1000" s="49"/>
      <c r="E1000" s="49"/>
    </row>
    <row r="1001" spans="1:5" ht="10.5" customHeight="1" x14ac:dyDescent="0.3">
      <c r="A1001" s="48">
        <f t="shared" si="17"/>
        <v>1000</v>
      </c>
      <c r="B1001" s="49"/>
      <c r="C1001" s="49"/>
      <c r="D1001" s="49"/>
      <c r="E1001" s="49"/>
    </row>
    <row r="1002" spans="1:5" ht="10.5" customHeight="1" x14ac:dyDescent="0.3">
      <c r="A1002" s="48">
        <f t="shared" si="17"/>
        <v>1001</v>
      </c>
      <c r="B1002" s="49"/>
      <c r="C1002" s="49"/>
      <c r="D1002" s="49"/>
      <c r="E1002" s="49"/>
    </row>
    <row r="1003" spans="1:5" ht="10.5" customHeight="1" x14ac:dyDescent="0.3">
      <c r="A1003" s="48">
        <f t="shared" si="17"/>
        <v>1002</v>
      </c>
      <c r="B1003" s="49"/>
      <c r="C1003" s="49"/>
      <c r="D1003" s="49"/>
      <c r="E1003" s="49"/>
    </row>
    <row r="1004" spans="1:5" ht="10.5" customHeight="1" x14ac:dyDescent="0.3">
      <c r="A1004" s="48">
        <f t="shared" si="17"/>
        <v>1003</v>
      </c>
      <c r="B1004" s="49"/>
      <c r="C1004" s="49"/>
      <c r="D1004" s="49"/>
      <c r="E1004" s="49"/>
    </row>
    <row r="1005" spans="1:5" ht="10.5" customHeight="1" x14ac:dyDescent="0.3">
      <c r="A1005" s="48">
        <f t="shared" si="17"/>
        <v>1004</v>
      </c>
      <c r="B1005" s="49"/>
      <c r="C1005" s="49"/>
      <c r="D1005" s="49"/>
      <c r="E1005" s="49"/>
    </row>
    <row r="1006" spans="1:5" ht="10.5" customHeight="1" x14ac:dyDescent="0.3">
      <c r="A1006" s="48">
        <f t="shared" si="17"/>
        <v>1005</v>
      </c>
      <c r="B1006" s="49"/>
      <c r="C1006" s="49"/>
      <c r="D1006" s="49"/>
      <c r="E1006" s="49"/>
    </row>
    <row r="1007" spans="1:5" ht="10.5" customHeight="1" x14ac:dyDescent="0.3">
      <c r="A1007" s="48">
        <f t="shared" si="17"/>
        <v>1006</v>
      </c>
      <c r="B1007" s="49"/>
      <c r="C1007" s="49"/>
      <c r="D1007" s="49"/>
      <c r="E1007" s="49"/>
    </row>
    <row r="1008" spans="1:5" ht="10.5" customHeight="1" x14ac:dyDescent="0.3">
      <c r="A1008" s="48">
        <f t="shared" si="17"/>
        <v>1007</v>
      </c>
      <c r="B1008" s="49"/>
      <c r="C1008" s="49"/>
      <c r="D1008" s="49"/>
      <c r="E1008" s="49"/>
    </row>
    <row r="1009" spans="1:5" ht="10.5" customHeight="1" x14ac:dyDescent="0.3">
      <c r="A1009" s="48">
        <f t="shared" si="17"/>
        <v>1008</v>
      </c>
      <c r="B1009" s="49"/>
      <c r="C1009" s="49"/>
      <c r="D1009" s="49"/>
      <c r="E1009" s="49"/>
    </row>
    <row r="1010" spans="1:5" ht="10.5" customHeight="1" x14ac:dyDescent="0.3">
      <c r="A1010" s="48">
        <f t="shared" si="17"/>
        <v>1009</v>
      </c>
      <c r="B1010" s="49"/>
      <c r="C1010" s="49"/>
      <c r="D1010" s="49"/>
      <c r="E1010" s="49"/>
    </row>
    <row r="1011" spans="1:5" ht="10.5" customHeight="1" x14ac:dyDescent="0.3">
      <c r="A1011" s="48">
        <f t="shared" si="17"/>
        <v>1010</v>
      </c>
      <c r="B1011" s="49"/>
      <c r="C1011" s="49"/>
      <c r="D1011" s="49"/>
      <c r="E1011" s="49"/>
    </row>
    <row r="1012" spans="1:5" ht="10.5" customHeight="1" x14ac:dyDescent="0.3">
      <c r="A1012" s="48">
        <f t="shared" si="17"/>
        <v>1011</v>
      </c>
      <c r="B1012" s="49"/>
      <c r="C1012" s="49"/>
      <c r="D1012" s="49"/>
      <c r="E1012" s="49"/>
    </row>
    <row r="1013" spans="1:5" ht="10.5" customHeight="1" x14ac:dyDescent="0.3">
      <c r="A1013" s="48">
        <f t="shared" si="17"/>
        <v>1012</v>
      </c>
      <c r="B1013" s="49"/>
      <c r="C1013" s="49"/>
      <c r="D1013" s="49"/>
      <c r="E1013" s="49"/>
    </row>
    <row r="1014" spans="1:5" ht="10.5" customHeight="1" x14ac:dyDescent="0.3">
      <c r="A1014" s="48">
        <f t="shared" si="17"/>
        <v>1013</v>
      </c>
      <c r="B1014" s="49"/>
      <c r="C1014" s="49"/>
      <c r="D1014" s="49"/>
      <c r="E1014" s="49"/>
    </row>
    <row r="1015" spans="1:5" ht="10.5" customHeight="1" x14ac:dyDescent="0.3">
      <c r="A1015" s="48">
        <f t="shared" si="17"/>
        <v>1014</v>
      </c>
      <c r="B1015" s="49"/>
      <c r="C1015" s="49"/>
      <c r="D1015" s="49"/>
      <c r="E1015" s="49"/>
    </row>
    <row r="1016" spans="1:5" ht="10.5" customHeight="1" x14ac:dyDescent="0.3">
      <c r="A1016" s="48">
        <f t="shared" si="17"/>
        <v>1015</v>
      </c>
      <c r="B1016" s="49"/>
      <c r="C1016" s="49"/>
      <c r="D1016" s="49"/>
      <c r="E1016" s="49"/>
    </row>
    <row r="1017" spans="1:5" ht="10.5" customHeight="1" x14ac:dyDescent="0.3">
      <c r="A1017" s="48">
        <f t="shared" si="17"/>
        <v>1016</v>
      </c>
      <c r="B1017" s="49"/>
      <c r="C1017" s="49"/>
      <c r="D1017" s="49"/>
      <c r="E1017" s="49"/>
    </row>
    <row r="1018" spans="1:5" ht="10.5" customHeight="1" x14ac:dyDescent="0.3">
      <c r="A1018" s="48">
        <f t="shared" si="17"/>
        <v>1017</v>
      </c>
      <c r="B1018" s="49"/>
      <c r="C1018" s="49"/>
      <c r="D1018" s="49"/>
      <c r="E1018" s="49"/>
    </row>
    <row r="1019" spans="1:5" ht="10.5" customHeight="1" x14ac:dyDescent="0.3">
      <c r="A1019" s="48">
        <f t="shared" si="17"/>
        <v>1018</v>
      </c>
      <c r="B1019" s="49"/>
      <c r="C1019" s="49"/>
      <c r="D1019" s="49"/>
      <c r="E1019" s="49"/>
    </row>
    <row r="1020" spans="1:5" ht="10.5" customHeight="1" x14ac:dyDescent="0.3">
      <c r="A1020" s="48">
        <f t="shared" si="17"/>
        <v>1019</v>
      </c>
      <c r="B1020" s="49"/>
      <c r="C1020" s="49"/>
      <c r="D1020" s="49"/>
      <c r="E1020" s="49"/>
    </row>
    <row r="1021" spans="1:5" ht="10.5" customHeight="1" x14ac:dyDescent="0.3">
      <c r="A1021" s="48">
        <f t="shared" si="17"/>
        <v>1020</v>
      </c>
      <c r="B1021" s="49"/>
      <c r="C1021" s="49"/>
      <c r="D1021" s="49"/>
      <c r="E1021" s="49"/>
    </row>
    <row r="1022" spans="1:5" ht="10.5" customHeight="1" x14ac:dyDescent="0.3">
      <c r="A1022" s="48">
        <f t="shared" si="17"/>
        <v>1021</v>
      </c>
      <c r="B1022" s="49"/>
      <c r="C1022" s="49"/>
      <c r="D1022" s="49"/>
      <c r="E1022" s="49"/>
    </row>
    <row r="1023" spans="1:5" ht="10.5" customHeight="1" x14ac:dyDescent="0.3">
      <c r="A1023" s="48">
        <f t="shared" si="17"/>
        <v>1022</v>
      </c>
      <c r="B1023" s="49"/>
      <c r="C1023" s="49"/>
      <c r="D1023" s="49"/>
      <c r="E1023" s="49"/>
    </row>
    <row r="1024" spans="1:5" ht="10.5" customHeight="1" x14ac:dyDescent="0.3">
      <c r="A1024" s="48">
        <f t="shared" si="17"/>
        <v>1023</v>
      </c>
      <c r="B1024" s="49"/>
      <c r="C1024" s="49"/>
      <c r="D1024" s="49"/>
      <c r="E1024" s="49"/>
    </row>
    <row r="1025" spans="1:5" ht="10.5" customHeight="1" x14ac:dyDescent="0.3">
      <c r="A1025" s="48">
        <f t="shared" si="17"/>
        <v>1024</v>
      </c>
      <c r="B1025" s="49"/>
      <c r="C1025" s="49"/>
      <c r="D1025" s="49"/>
      <c r="E1025" s="49"/>
    </row>
    <row r="1026" spans="1:5" ht="10.5" customHeight="1" x14ac:dyDescent="0.3">
      <c r="A1026" s="48">
        <f t="shared" si="17"/>
        <v>1025</v>
      </c>
      <c r="B1026" s="49"/>
      <c r="C1026" s="49"/>
      <c r="D1026" s="49"/>
      <c r="E1026" s="49"/>
    </row>
    <row r="1027" spans="1:5" ht="10.5" customHeight="1" x14ac:dyDescent="0.3">
      <c r="A1027" s="48">
        <f t="shared" ref="A1027:A1090" si="18">A1026+1</f>
        <v>1026</v>
      </c>
      <c r="B1027" s="49"/>
      <c r="C1027" s="49"/>
      <c r="D1027" s="49"/>
      <c r="E1027" s="49"/>
    </row>
    <row r="1028" spans="1:5" ht="10.5" customHeight="1" x14ac:dyDescent="0.3">
      <c r="A1028" s="48">
        <f t="shared" si="18"/>
        <v>1027</v>
      </c>
      <c r="B1028" s="49"/>
      <c r="C1028" s="49"/>
      <c r="D1028" s="49"/>
      <c r="E1028" s="49"/>
    </row>
    <row r="1029" spans="1:5" ht="10.5" customHeight="1" x14ac:dyDescent="0.3">
      <c r="A1029" s="48">
        <f t="shared" si="18"/>
        <v>1028</v>
      </c>
      <c r="B1029" s="49"/>
      <c r="C1029" s="49"/>
      <c r="D1029" s="49"/>
      <c r="E1029" s="49"/>
    </row>
    <row r="1030" spans="1:5" ht="10.5" customHeight="1" x14ac:dyDescent="0.3">
      <c r="A1030" s="48">
        <f t="shared" si="18"/>
        <v>1029</v>
      </c>
      <c r="B1030" s="49"/>
      <c r="C1030" s="49"/>
      <c r="D1030" s="49"/>
      <c r="E1030" s="49"/>
    </row>
    <row r="1031" spans="1:5" ht="10.5" customHeight="1" x14ac:dyDescent="0.3">
      <c r="A1031" s="48">
        <f t="shared" si="18"/>
        <v>1030</v>
      </c>
      <c r="B1031" s="49"/>
      <c r="C1031" s="49"/>
      <c r="D1031" s="49"/>
      <c r="E1031" s="49"/>
    </row>
    <row r="1032" spans="1:5" ht="10.5" customHeight="1" x14ac:dyDescent="0.3">
      <c r="A1032" s="48">
        <f t="shared" si="18"/>
        <v>1031</v>
      </c>
      <c r="B1032" s="49"/>
      <c r="C1032" s="49"/>
      <c r="D1032" s="49"/>
      <c r="E1032" s="49"/>
    </row>
    <row r="1033" spans="1:5" ht="10.5" customHeight="1" x14ac:dyDescent="0.3">
      <c r="A1033" s="48">
        <f t="shared" si="18"/>
        <v>1032</v>
      </c>
      <c r="B1033" s="49"/>
      <c r="C1033" s="49"/>
      <c r="D1033" s="49"/>
      <c r="E1033" s="49"/>
    </row>
    <row r="1034" spans="1:5" ht="10.5" customHeight="1" x14ac:dyDescent="0.3">
      <c r="A1034" s="48">
        <f t="shared" si="18"/>
        <v>1033</v>
      </c>
      <c r="B1034" s="49"/>
      <c r="C1034" s="49"/>
      <c r="D1034" s="49"/>
      <c r="E1034" s="49"/>
    </row>
    <row r="1035" spans="1:5" ht="10.5" customHeight="1" x14ac:dyDescent="0.3">
      <c r="A1035" s="48">
        <f t="shared" si="18"/>
        <v>1034</v>
      </c>
      <c r="B1035" s="49"/>
      <c r="C1035" s="49"/>
      <c r="D1035" s="49"/>
      <c r="E1035" s="49"/>
    </row>
    <row r="1036" spans="1:5" ht="10.5" customHeight="1" x14ac:dyDescent="0.3">
      <c r="A1036" s="48">
        <f t="shared" si="18"/>
        <v>1035</v>
      </c>
      <c r="B1036" s="49"/>
      <c r="C1036" s="49"/>
      <c r="D1036" s="49"/>
      <c r="E1036" s="49"/>
    </row>
    <row r="1037" spans="1:5" ht="10.5" customHeight="1" x14ac:dyDescent="0.3">
      <c r="A1037" s="48">
        <f t="shared" si="18"/>
        <v>1036</v>
      </c>
      <c r="B1037" s="49"/>
      <c r="C1037" s="49"/>
      <c r="D1037" s="49"/>
      <c r="E1037" s="49"/>
    </row>
    <row r="1038" spans="1:5" ht="10.5" customHeight="1" x14ac:dyDescent="0.3">
      <c r="A1038" s="48">
        <f t="shared" si="18"/>
        <v>1037</v>
      </c>
      <c r="B1038" s="49"/>
      <c r="C1038" s="49"/>
      <c r="D1038" s="49"/>
      <c r="E1038" s="49"/>
    </row>
    <row r="1039" spans="1:5" ht="10.5" customHeight="1" x14ac:dyDescent="0.3">
      <c r="A1039" s="48">
        <f t="shared" si="18"/>
        <v>1038</v>
      </c>
      <c r="B1039" s="49"/>
      <c r="C1039" s="49"/>
      <c r="D1039" s="49"/>
      <c r="E1039" s="49"/>
    </row>
    <row r="1040" spans="1:5" ht="10.5" customHeight="1" x14ac:dyDescent="0.3">
      <c r="A1040" s="48">
        <f t="shared" si="18"/>
        <v>1039</v>
      </c>
      <c r="B1040" s="49"/>
      <c r="C1040" s="49"/>
      <c r="D1040" s="49"/>
      <c r="E1040" s="49"/>
    </row>
    <row r="1041" spans="1:5" ht="10.5" customHeight="1" x14ac:dyDescent="0.3">
      <c r="A1041" s="48">
        <f t="shared" si="18"/>
        <v>1040</v>
      </c>
      <c r="B1041" s="49"/>
      <c r="C1041" s="49"/>
      <c r="D1041" s="49"/>
      <c r="E1041" s="49"/>
    </row>
    <row r="1042" spans="1:5" ht="10.5" customHeight="1" x14ac:dyDescent="0.3">
      <c r="A1042" s="48">
        <f t="shared" si="18"/>
        <v>1041</v>
      </c>
      <c r="B1042" s="49"/>
      <c r="C1042" s="49"/>
      <c r="D1042" s="49"/>
      <c r="E1042" s="49"/>
    </row>
    <row r="1043" spans="1:5" ht="10.5" customHeight="1" x14ac:dyDescent="0.3">
      <c r="A1043" s="48">
        <f t="shared" si="18"/>
        <v>1042</v>
      </c>
      <c r="B1043" s="49"/>
      <c r="C1043" s="49"/>
      <c r="D1043" s="49"/>
      <c r="E1043" s="49"/>
    </row>
    <row r="1044" spans="1:5" ht="10.5" customHeight="1" x14ac:dyDescent="0.3">
      <c r="A1044" s="48">
        <f t="shared" si="18"/>
        <v>1043</v>
      </c>
      <c r="B1044" s="49"/>
      <c r="C1044" s="49"/>
      <c r="D1044" s="49"/>
      <c r="E1044" s="49"/>
    </row>
    <row r="1045" spans="1:5" ht="10.5" customHeight="1" x14ac:dyDescent="0.3">
      <c r="A1045" s="48">
        <f t="shared" si="18"/>
        <v>1044</v>
      </c>
      <c r="B1045" s="49"/>
      <c r="C1045" s="49"/>
      <c r="D1045" s="49"/>
      <c r="E1045" s="49"/>
    </row>
    <row r="1046" spans="1:5" ht="10.5" customHeight="1" x14ac:dyDescent="0.3">
      <c r="A1046" s="48">
        <f t="shared" si="18"/>
        <v>1045</v>
      </c>
      <c r="B1046" s="49"/>
      <c r="C1046" s="49"/>
      <c r="D1046" s="49"/>
      <c r="E1046" s="49"/>
    </row>
    <row r="1047" spans="1:5" ht="10.5" customHeight="1" x14ac:dyDescent="0.3">
      <c r="A1047" s="48">
        <f t="shared" si="18"/>
        <v>1046</v>
      </c>
      <c r="B1047" s="49"/>
      <c r="C1047" s="49"/>
      <c r="D1047" s="49"/>
      <c r="E1047" s="49"/>
    </row>
    <row r="1048" spans="1:5" ht="10.5" customHeight="1" x14ac:dyDescent="0.3">
      <c r="A1048" s="48">
        <f t="shared" si="18"/>
        <v>1047</v>
      </c>
      <c r="B1048" s="49"/>
      <c r="C1048" s="49"/>
      <c r="D1048" s="49"/>
      <c r="E1048" s="49"/>
    </row>
    <row r="1049" spans="1:5" ht="10.5" customHeight="1" x14ac:dyDescent="0.3">
      <c r="A1049" s="48">
        <f t="shared" si="18"/>
        <v>1048</v>
      </c>
      <c r="B1049" s="49"/>
      <c r="C1049" s="49"/>
      <c r="D1049" s="49"/>
      <c r="E1049" s="49"/>
    </row>
    <row r="1050" spans="1:5" ht="10.5" customHeight="1" x14ac:dyDescent="0.3">
      <c r="A1050" s="48">
        <f t="shared" si="18"/>
        <v>1049</v>
      </c>
      <c r="B1050" s="49"/>
      <c r="C1050" s="49"/>
      <c r="D1050" s="49"/>
      <c r="E1050" s="49"/>
    </row>
    <row r="1051" spans="1:5" ht="10.5" customHeight="1" x14ac:dyDescent="0.3">
      <c r="A1051" s="48">
        <f t="shared" si="18"/>
        <v>1050</v>
      </c>
      <c r="B1051" s="49"/>
      <c r="C1051" s="49"/>
      <c r="D1051" s="49"/>
      <c r="E1051" s="49"/>
    </row>
    <row r="1052" spans="1:5" ht="10.5" customHeight="1" x14ac:dyDescent="0.3">
      <c r="A1052" s="48">
        <f t="shared" si="18"/>
        <v>1051</v>
      </c>
      <c r="B1052" s="49"/>
      <c r="C1052" s="49"/>
      <c r="D1052" s="49"/>
      <c r="E1052" s="49"/>
    </row>
    <row r="1053" spans="1:5" ht="10.5" customHeight="1" x14ac:dyDescent="0.3">
      <c r="A1053" s="48">
        <f t="shared" si="18"/>
        <v>1052</v>
      </c>
      <c r="B1053" s="49"/>
      <c r="C1053" s="49"/>
      <c r="D1053" s="49"/>
      <c r="E1053" s="49"/>
    </row>
    <row r="1054" spans="1:5" ht="10.5" customHeight="1" x14ac:dyDescent="0.3">
      <c r="A1054" s="48">
        <f t="shared" si="18"/>
        <v>1053</v>
      </c>
      <c r="B1054" s="49"/>
      <c r="C1054" s="49"/>
      <c r="D1054" s="49"/>
      <c r="E1054" s="49"/>
    </row>
    <row r="1055" spans="1:5" ht="10.5" customHeight="1" x14ac:dyDescent="0.3">
      <c r="A1055" s="48">
        <f t="shared" si="18"/>
        <v>1054</v>
      </c>
      <c r="B1055" s="49"/>
      <c r="C1055" s="49"/>
      <c r="D1055" s="49"/>
      <c r="E1055" s="49"/>
    </row>
    <row r="1056" spans="1:5" ht="10.5" customHeight="1" x14ac:dyDescent="0.3">
      <c r="A1056" s="48">
        <f t="shared" si="18"/>
        <v>1055</v>
      </c>
      <c r="B1056" s="49"/>
      <c r="C1056" s="49"/>
      <c r="D1056" s="49"/>
      <c r="E1056" s="49"/>
    </row>
    <row r="1057" spans="1:5" ht="10.5" customHeight="1" x14ac:dyDescent="0.3">
      <c r="A1057" s="48">
        <f t="shared" si="18"/>
        <v>1056</v>
      </c>
      <c r="B1057" s="49"/>
      <c r="C1057" s="49"/>
      <c r="D1057" s="49"/>
      <c r="E1057" s="49"/>
    </row>
    <row r="1058" spans="1:5" ht="10.5" customHeight="1" x14ac:dyDescent="0.3">
      <c r="A1058" s="48">
        <f t="shared" si="18"/>
        <v>1057</v>
      </c>
      <c r="B1058" s="49"/>
      <c r="C1058" s="49"/>
      <c r="D1058" s="49"/>
      <c r="E1058" s="49"/>
    </row>
    <row r="1059" spans="1:5" ht="10.5" customHeight="1" x14ac:dyDescent="0.3">
      <c r="A1059" s="48">
        <f t="shared" si="18"/>
        <v>1058</v>
      </c>
      <c r="B1059" s="49"/>
      <c r="C1059" s="49"/>
      <c r="D1059" s="49"/>
      <c r="E1059" s="49"/>
    </row>
    <row r="1060" spans="1:5" ht="10.5" customHeight="1" x14ac:dyDescent="0.3">
      <c r="A1060" s="48">
        <f t="shared" si="18"/>
        <v>1059</v>
      </c>
      <c r="B1060" s="49"/>
      <c r="C1060" s="49"/>
      <c r="D1060" s="49"/>
      <c r="E1060" s="49"/>
    </row>
    <row r="1061" spans="1:5" ht="10.5" customHeight="1" x14ac:dyDescent="0.3">
      <c r="A1061" s="48">
        <f t="shared" si="18"/>
        <v>1060</v>
      </c>
      <c r="B1061" s="49"/>
      <c r="C1061" s="49"/>
      <c r="D1061" s="49"/>
      <c r="E1061" s="49"/>
    </row>
    <row r="1062" spans="1:5" ht="10.5" customHeight="1" x14ac:dyDescent="0.3">
      <c r="A1062" s="48">
        <f t="shared" si="18"/>
        <v>1061</v>
      </c>
      <c r="B1062" s="49"/>
      <c r="C1062" s="49"/>
      <c r="D1062" s="49"/>
      <c r="E1062" s="49"/>
    </row>
    <row r="1063" spans="1:5" ht="10.5" customHeight="1" x14ac:dyDescent="0.3">
      <c r="A1063" s="48">
        <f t="shared" si="18"/>
        <v>1062</v>
      </c>
      <c r="B1063" s="49"/>
      <c r="C1063" s="49"/>
      <c r="D1063" s="49"/>
      <c r="E1063" s="49"/>
    </row>
    <row r="1064" spans="1:5" ht="10.5" customHeight="1" x14ac:dyDescent="0.3">
      <c r="A1064" s="48">
        <f t="shared" si="18"/>
        <v>1063</v>
      </c>
      <c r="B1064" s="49"/>
      <c r="C1064" s="49"/>
      <c r="D1064" s="49"/>
      <c r="E1064" s="49"/>
    </row>
    <row r="1065" spans="1:5" ht="10.5" customHeight="1" x14ac:dyDescent="0.3">
      <c r="A1065" s="48">
        <f t="shared" si="18"/>
        <v>1064</v>
      </c>
      <c r="B1065" s="49"/>
      <c r="C1065" s="49"/>
      <c r="D1065" s="49"/>
      <c r="E1065" s="49"/>
    </row>
    <row r="1066" spans="1:5" ht="10.5" customHeight="1" x14ac:dyDescent="0.3">
      <c r="A1066" s="48">
        <f t="shared" si="18"/>
        <v>1065</v>
      </c>
      <c r="B1066" s="49"/>
      <c r="C1066" s="49"/>
      <c r="D1066" s="49"/>
      <c r="E1066" s="49"/>
    </row>
    <row r="1067" spans="1:5" ht="10.5" customHeight="1" x14ac:dyDescent="0.3">
      <c r="A1067" s="48">
        <f t="shared" si="18"/>
        <v>1066</v>
      </c>
      <c r="B1067" s="49"/>
      <c r="C1067" s="49"/>
      <c r="D1067" s="49"/>
      <c r="E1067" s="49"/>
    </row>
    <row r="1068" spans="1:5" ht="10.5" customHeight="1" x14ac:dyDescent="0.3">
      <c r="A1068" s="48">
        <f t="shared" si="18"/>
        <v>1067</v>
      </c>
      <c r="B1068" s="49"/>
      <c r="C1068" s="49"/>
      <c r="D1068" s="49"/>
      <c r="E1068" s="49"/>
    </row>
    <row r="1069" spans="1:5" ht="10.5" customHeight="1" x14ac:dyDescent="0.3">
      <c r="A1069" s="48">
        <f t="shared" si="18"/>
        <v>1068</v>
      </c>
      <c r="B1069" s="49"/>
      <c r="C1069" s="49"/>
      <c r="D1069" s="49"/>
      <c r="E1069" s="49"/>
    </row>
    <row r="1070" spans="1:5" ht="10.5" customHeight="1" x14ac:dyDescent="0.3">
      <c r="A1070" s="48">
        <f t="shared" si="18"/>
        <v>1069</v>
      </c>
      <c r="B1070" s="49"/>
      <c r="C1070" s="49"/>
      <c r="D1070" s="49"/>
      <c r="E1070" s="49"/>
    </row>
    <row r="1071" spans="1:5" ht="10.5" customHeight="1" x14ac:dyDescent="0.3">
      <c r="A1071" s="48">
        <f t="shared" si="18"/>
        <v>1070</v>
      </c>
      <c r="B1071" s="49"/>
      <c r="C1071" s="49"/>
      <c r="D1071" s="49"/>
      <c r="E1071" s="49"/>
    </row>
    <row r="1072" spans="1:5" ht="10.5" customHeight="1" x14ac:dyDescent="0.3">
      <c r="A1072" s="48">
        <f t="shared" si="18"/>
        <v>1071</v>
      </c>
      <c r="B1072" s="49"/>
      <c r="C1072" s="49"/>
      <c r="D1072" s="49"/>
      <c r="E1072" s="49"/>
    </row>
    <row r="1073" spans="1:5" ht="10.5" customHeight="1" x14ac:dyDescent="0.3">
      <c r="A1073" s="48">
        <f t="shared" si="18"/>
        <v>1072</v>
      </c>
      <c r="B1073" s="49"/>
      <c r="C1073" s="49"/>
      <c r="D1073" s="49"/>
      <c r="E1073" s="49"/>
    </row>
    <row r="1074" spans="1:5" ht="10.5" customHeight="1" x14ac:dyDescent="0.3">
      <c r="A1074" s="48">
        <f t="shared" si="18"/>
        <v>1073</v>
      </c>
      <c r="B1074" s="49"/>
      <c r="C1074" s="49"/>
      <c r="D1074" s="49"/>
      <c r="E1074" s="49"/>
    </row>
    <row r="1075" spans="1:5" ht="10.5" customHeight="1" x14ac:dyDescent="0.3">
      <c r="A1075" s="48">
        <f t="shared" si="18"/>
        <v>1074</v>
      </c>
      <c r="B1075" s="49"/>
      <c r="C1075" s="49"/>
      <c r="D1075" s="49"/>
      <c r="E1075" s="49"/>
    </row>
    <row r="1076" spans="1:5" ht="10.5" customHeight="1" x14ac:dyDescent="0.3">
      <c r="A1076" s="48">
        <f t="shared" si="18"/>
        <v>1075</v>
      </c>
      <c r="B1076" s="49"/>
      <c r="C1076" s="49"/>
      <c r="D1076" s="49"/>
      <c r="E1076" s="49"/>
    </row>
    <row r="1077" spans="1:5" ht="10.5" customHeight="1" x14ac:dyDescent="0.3">
      <c r="A1077" s="48">
        <f t="shared" si="18"/>
        <v>1076</v>
      </c>
      <c r="B1077" s="49"/>
      <c r="C1077" s="49"/>
      <c r="D1077" s="49"/>
      <c r="E1077" s="49"/>
    </row>
    <row r="1078" spans="1:5" ht="10.5" customHeight="1" x14ac:dyDescent="0.3">
      <c r="A1078" s="48">
        <f t="shared" si="18"/>
        <v>1077</v>
      </c>
      <c r="B1078" s="49"/>
      <c r="C1078" s="49"/>
      <c r="D1078" s="49"/>
      <c r="E1078" s="49"/>
    </row>
    <row r="1079" spans="1:5" ht="10.5" customHeight="1" x14ac:dyDescent="0.3">
      <c r="A1079" s="48">
        <f t="shared" si="18"/>
        <v>1078</v>
      </c>
      <c r="B1079" s="49"/>
      <c r="C1079" s="49"/>
      <c r="D1079" s="49"/>
      <c r="E1079" s="49"/>
    </row>
    <row r="1080" spans="1:5" ht="10.5" customHeight="1" x14ac:dyDescent="0.3">
      <c r="A1080" s="48">
        <f t="shared" si="18"/>
        <v>1079</v>
      </c>
      <c r="B1080" s="49"/>
      <c r="C1080" s="49"/>
      <c r="D1080" s="49"/>
      <c r="E1080" s="49"/>
    </row>
    <row r="1081" spans="1:5" ht="10.5" customHeight="1" x14ac:dyDescent="0.3">
      <c r="A1081" s="48">
        <f t="shared" si="18"/>
        <v>1080</v>
      </c>
      <c r="B1081" s="49"/>
      <c r="C1081" s="49"/>
      <c r="D1081" s="49"/>
      <c r="E1081" s="49"/>
    </row>
    <row r="1082" spans="1:5" ht="10.5" customHeight="1" x14ac:dyDescent="0.3">
      <c r="A1082" s="48">
        <f t="shared" si="18"/>
        <v>1081</v>
      </c>
      <c r="B1082" s="49"/>
      <c r="C1082" s="49"/>
      <c r="D1082" s="49"/>
      <c r="E1082" s="49"/>
    </row>
    <row r="1083" spans="1:5" ht="10.5" customHeight="1" x14ac:dyDescent="0.3">
      <c r="A1083" s="48">
        <f t="shared" si="18"/>
        <v>1082</v>
      </c>
      <c r="B1083" s="49"/>
      <c r="C1083" s="49"/>
      <c r="D1083" s="49"/>
      <c r="E1083" s="49"/>
    </row>
    <row r="1084" spans="1:5" ht="10.5" customHeight="1" x14ac:dyDescent="0.3">
      <c r="A1084" s="48">
        <f t="shared" si="18"/>
        <v>1083</v>
      </c>
      <c r="B1084" s="49"/>
      <c r="C1084" s="49"/>
      <c r="D1084" s="49"/>
      <c r="E1084" s="49"/>
    </row>
    <row r="1085" spans="1:5" ht="10.5" customHeight="1" x14ac:dyDescent="0.3">
      <c r="A1085" s="48">
        <f t="shared" si="18"/>
        <v>1084</v>
      </c>
      <c r="B1085" s="49"/>
      <c r="C1085" s="49"/>
      <c r="D1085" s="49"/>
      <c r="E1085" s="49"/>
    </row>
    <row r="1086" spans="1:5" ht="10.5" customHeight="1" x14ac:dyDescent="0.3">
      <c r="A1086" s="48">
        <f t="shared" si="18"/>
        <v>1085</v>
      </c>
      <c r="B1086" s="49"/>
      <c r="C1086" s="49"/>
      <c r="D1086" s="49"/>
      <c r="E1086" s="49"/>
    </row>
    <row r="1087" spans="1:5" ht="10.5" customHeight="1" x14ac:dyDescent="0.3">
      <c r="A1087" s="48">
        <f t="shared" si="18"/>
        <v>1086</v>
      </c>
      <c r="B1087" s="49"/>
      <c r="C1087" s="49"/>
      <c r="D1087" s="49"/>
      <c r="E1087" s="49"/>
    </row>
    <row r="1088" spans="1:5" ht="10.5" customHeight="1" x14ac:dyDescent="0.3">
      <c r="A1088" s="48">
        <f t="shared" si="18"/>
        <v>1087</v>
      </c>
      <c r="B1088" s="49"/>
      <c r="C1088" s="49"/>
      <c r="D1088" s="49"/>
      <c r="E1088" s="49"/>
    </row>
    <row r="1089" spans="1:5" ht="10.5" customHeight="1" x14ac:dyDescent="0.3">
      <c r="A1089" s="48">
        <f t="shared" si="18"/>
        <v>1088</v>
      </c>
      <c r="B1089" s="49"/>
      <c r="C1089" s="49"/>
      <c r="D1089" s="49"/>
      <c r="E1089" s="49"/>
    </row>
    <row r="1090" spans="1:5" ht="10.5" customHeight="1" x14ac:dyDescent="0.3">
      <c r="A1090" s="48">
        <f t="shared" si="18"/>
        <v>1089</v>
      </c>
      <c r="B1090" s="49"/>
      <c r="C1090" s="49"/>
      <c r="D1090" s="49"/>
      <c r="E1090" s="49"/>
    </row>
    <row r="1091" spans="1:5" ht="10.5" customHeight="1" x14ac:dyDescent="0.3">
      <c r="A1091" s="48">
        <f t="shared" ref="A1091:A1154" si="19">A1090+1</f>
        <v>1090</v>
      </c>
      <c r="B1091" s="49"/>
      <c r="C1091" s="49"/>
      <c r="D1091" s="49"/>
      <c r="E1091" s="49"/>
    </row>
    <row r="1092" spans="1:5" ht="10.5" customHeight="1" x14ac:dyDescent="0.3">
      <c r="A1092" s="48">
        <f t="shared" si="19"/>
        <v>1091</v>
      </c>
      <c r="B1092" s="49"/>
      <c r="C1092" s="49"/>
      <c r="D1092" s="49"/>
      <c r="E1092" s="49"/>
    </row>
    <row r="1093" spans="1:5" ht="10.5" customHeight="1" x14ac:dyDescent="0.3">
      <c r="A1093" s="48">
        <f t="shared" si="19"/>
        <v>1092</v>
      </c>
      <c r="B1093" s="49"/>
      <c r="C1093" s="49"/>
      <c r="D1093" s="49"/>
      <c r="E1093" s="49"/>
    </row>
    <row r="1094" spans="1:5" ht="10.5" customHeight="1" x14ac:dyDescent="0.3">
      <c r="A1094" s="48">
        <f t="shared" si="19"/>
        <v>1093</v>
      </c>
      <c r="B1094" s="49"/>
      <c r="C1094" s="49"/>
      <c r="D1094" s="49"/>
      <c r="E1094" s="49"/>
    </row>
    <row r="1095" spans="1:5" ht="10.5" customHeight="1" x14ac:dyDescent="0.3">
      <c r="A1095" s="48">
        <f t="shared" si="19"/>
        <v>1094</v>
      </c>
      <c r="B1095" s="49"/>
      <c r="C1095" s="49"/>
      <c r="D1095" s="49"/>
      <c r="E1095" s="49"/>
    </row>
    <row r="1096" spans="1:5" ht="10.5" customHeight="1" x14ac:dyDescent="0.3">
      <c r="A1096" s="48">
        <f t="shared" si="19"/>
        <v>1095</v>
      </c>
      <c r="B1096" s="49"/>
      <c r="C1096" s="49"/>
      <c r="D1096" s="49"/>
      <c r="E1096" s="49"/>
    </row>
    <row r="1097" spans="1:5" ht="10.5" customHeight="1" x14ac:dyDescent="0.3">
      <c r="A1097" s="48">
        <f t="shared" si="19"/>
        <v>1096</v>
      </c>
      <c r="B1097" s="49"/>
      <c r="C1097" s="49"/>
      <c r="D1097" s="49"/>
      <c r="E1097" s="49"/>
    </row>
    <row r="1098" spans="1:5" ht="10.5" customHeight="1" x14ac:dyDescent="0.3">
      <c r="A1098" s="48">
        <f t="shared" si="19"/>
        <v>1097</v>
      </c>
      <c r="B1098" s="49"/>
      <c r="C1098" s="49"/>
      <c r="D1098" s="49"/>
      <c r="E1098" s="49"/>
    </row>
    <row r="1099" spans="1:5" ht="10.5" customHeight="1" x14ac:dyDescent="0.3">
      <c r="A1099" s="48">
        <f t="shared" si="19"/>
        <v>1098</v>
      </c>
      <c r="B1099" s="49"/>
      <c r="C1099" s="49"/>
      <c r="D1099" s="49"/>
      <c r="E1099" s="49"/>
    </row>
    <row r="1100" spans="1:5" ht="10.5" customHeight="1" x14ac:dyDescent="0.3">
      <c r="A1100" s="48">
        <f t="shared" si="19"/>
        <v>1099</v>
      </c>
      <c r="B1100" s="49"/>
      <c r="C1100" s="49"/>
      <c r="D1100" s="49"/>
      <c r="E1100" s="49"/>
    </row>
    <row r="1101" spans="1:5" ht="10.5" customHeight="1" x14ac:dyDescent="0.3">
      <c r="A1101" s="48">
        <f t="shared" si="19"/>
        <v>1100</v>
      </c>
      <c r="B1101" s="49"/>
      <c r="C1101" s="49"/>
      <c r="D1101" s="49"/>
      <c r="E1101" s="49"/>
    </row>
    <row r="1102" spans="1:5" ht="10.5" customHeight="1" x14ac:dyDescent="0.3">
      <c r="A1102" s="48">
        <f t="shared" si="19"/>
        <v>1101</v>
      </c>
      <c r="B1102" s="49"/>
      <c r="C1102" s="49"/>
      <c r="D1102" s="49"/>
      <c r="E1102" s="49"/>
    </row>
    <row r="1103" spans="1:5" ht="10.5" customHeight="1" x14ac:dyDescent="0.3">
      <c r="A1103" s="48">
        <f t="shared" si="19"/>
        <v>1102</v>
      </c>
      <c r="B1103" s="49"/>
      <c r="C1103" s="49"/>
      <c r="D1103" s="49"/>
      <c r="E1103" s="49"/>
    </row>
    <row r="1104" spans="1:5" ht="10.5" customHeight="1" x14ac:dyDescent="0.3">
      <c r="A1104" s="48">
        <f t="shared" si="19"/>
        <v>1103</v>
      </c>
      <c r="B1104" s="49"/>
      <c r="C1104" s="49"/>
      <c r="D1104" s="49"/>
      <c r="E1104" s="49"/>
    </row>
    <row r="1105" spans="1:5" ht="10.5" customHeight="1" x14ac:dyDescent="0.3">
      <c r="A1105" s="48">
        <f t="shared" si="19"/>
        <v>1104</v>
      </c>
      <c r="B1105" s="49"/>
      <c r="C1105" s="49"/>
      <c r="D1105" s="49"/>
      <c r="E1105" s="49"/>
    </row>
    <row r="1106" spans="1:5" ht="10.5" customHeight="1" x14ac:dyDescent="0.3">
      <c r="A1106" s="48">
        <f t="shared" si="19"/>
        <v>1105</v>
      </c>
      <c r="B1106" s="49"/>
      <c r="C1106" s="49"/>
      <c r="D1106" s="49"/>
      <c r="E1106" s="49"/>
    </row>
    <row r="1107" spans="1:5" ht="10.5" customHeight="1" x14ac:dyDescent="0.3">
      <c r="A1107" s="48">
        <f t="shared" si="19"/>
        <v>1106</v>
      </c>
      <c r="B1107" s="49"/>
      <c r="C1107" s="49"/>
      <c r="D1107" s="49"/>
      <c r="E1107" s="49"/>
    </row>
    <row r="1108" spans="1:5" ht="10.5" customHeight="1" x14ac:dyDescent="0.3">
      <c r="A1108" s="48">
        <f t="shared" si="19"/>
        <v>1107</v>
      </c>
      <c r="B1108" s="49"/>
      <c r="C1108" s="49"/>
      <c r="D1108" s="49"/>
      <c r="E1108" s="49"/>
    </row>
    <row r="1109" spans="1:5" ht="10.5" customHeight="1" x14ac:dyDescent="0.3">
      <c r="A1109" s="48">
        <f t="shared" si="19"/>
        <v>1108</v>
      </c>
      <c r="B1109" s="49"/>
      <c r="C1109" s="49"/>
      <c r="D1109" s="49"/>
      <c r="E1109" s="49"/>
    </row>
    <row r="1110" spans="1:5" ht="10.5" customHeight="1" x14ac:dyDescent="0.3">
      <c r="A1110" s="48">
        <f t="shared" si="19"/>
        <v>1109</v>
      </c>
      <c r="B1110" s="49"/>
      <c r="C1110" s="49"/>
      <c r="D1110" s="49"/>
      <c r="E1110" s="49"/>
    </row>
    <row r="1111" spans="1:5" ht="10.5" customHeight="1" x14ac:dyDescent="0.3">
      <c r="A1111" s="48">
        <f t="shared" si="19"/>
        <v>1110</v>
      </c>
      <c r="B1111" s="49"/>
      <c r="C1111" s="49"/>
      <c r="D1111" s="49"/>
      <c r="E1111" s="49"/>
    </row>
    <row r="1112" spans="1:5" ht="10.5" customHeight="1" x14ac:dyDescent="0.3">
      <c r="A1112" s="48">
        <f t="shared" si="19"/>
        <v>1111</v>
      </c>
      <c r="B1112" s="49"/>
      <c r="C1112" s="49"/>
      <c r="D1112" s="49"/>
      <c r="E1112" s="49"/>
    </row>
    <row r="1113" spans="1:5" ht="10.5" customHeight="1" x14ac:dyDescent="0.3">
      <c r="A1113" s="48">
        <f t="shared" si="19"/>
        <v>1112</v>
      </c>
      <c r="B1113" s="49"/>
      <c r="C1113" s="49"/>
      <c r="D1113" s="49"/>
      <c r="E1113" s="49"/>
    </row>
    <row r="1114" spans="1:5" ht="10.5" customHeight="1" x14ac:dyDescent="0.3">
      <c r="A1114" s="48">
        <f t="shared" si="19"/>
        <v>1113</v>
      </c>
      <c r="B1114" s="49"/>
      <c r="C1114" s="49"/>
      <c r="D1114" s="49"/>
      <c r="E1114" s="49"/>
    </row>
    <row r="1115" spans="1:5" ht="10.5" customHeight="1" x14ac:dyDescent="0.3">
      <c r="A1115" s="48">
        <f t="shared" si="19"/>
        <v>1114</v>
      </c>
      <c r="B1115" s="49"/>
      <c r="C1115" s="49"/>
      <c r="D1115" s="49"/>
      <c r="E1115" s="49"/>
    </row>
    <row r="1116" spans="1:5" ht="10.5" customHeight="1" x14ac:dyDescent="0.3">
      <c r="A1116" s="48">
        <f t="shared" si="19"/>
        <v>1115</v>
      </c>
      <c r="B1116" s="49"/>
      <c r="C1116" s="49"/>
      <c r="D1116" s="49"/>
      <c r="E1116" s="49"/>
    </row>
    <row r="1117" spans="1:5" ht="10.5" customHeight="1" x14ac:dyDescent="0.3">
      <c r="A1117" s="48">
        <f t="shared" si="19"/>
        <v>1116</v>
      </c>
      <c r="B1117" s="49"/>
      <c r="C1117" s="49"/>
      <c r="D1117" s="49"/>
      <c r="E1117" s="49"/>
    </row>
    <row r="1118" spans="1:5" ht="10.5" customHeight="1" x14ac:dyDescent="0.3">
      <c r="A1118" s="48">
        <f t="shared" si="19"/>
        <v>1117</v>
      </c>
      <c r="B1118" s="49"/>
      <c r="C1118" s="49"/>
      <c r="D1118" s="49"/>
      <c r="E1118" s="49"/>
    </row>
    <row r="1119" spans="1:5" ht="10.5" customHeight="1" x14ac:dyDescent="0.3">
      <c r="A1119" s="48">
        <f t="shared" si="19"/>
        <v>1118</v>
      </c>
      <c r="B1119" s="49"/>
      <c r="C1119" s="49"/>
      <c r="D1119" s="49"/>
      <c r="E1119" s="49"/>
    </row>
    <row r="1120" spans="1:5" ht="10.5" customHeight="1" x14ac:dyDescent="0.3">
      <c r="A1120" s="48">
        <f t="shared" si="19"/>
        <v>1119</v>
      </c>
      <c r="B1120" s="49"/>
      <c r="C1120" s="49"/>
      <c r="D1120" s="49"/>
      <c r="E1120" s="49"/>
    </row>
    <row r="1121" spans="1:5" ht="10.5" customHeight="1" x14ac:dyDescent="0.3">
      <c r="A1121" s="48">
        <f t="shared" si="19"/>
        <v>1120</v>
      </c>
      <c r="B1121" s="49"/>
      <c r="C1121" s="49"/>
      <c r="D1121" s="49"/>
      <c r="E1121" s="49"/>
    </row>
    <row r="1122" spans="1:5" ht="10.5" customHeight="1" x14ac:dyDescent="0.3">
      <c r="A1122" s="48">
        <f t="shared" si="19"/>
        <v>1121</v>
      </c>
      <c r="B1122" s="49"/>
      <c r="C1122" s="49"/>
      <c r="D1122" s="49"/>
      <c r="E1122" s="49"/>
    </row>
    <row r="1123" spans="1:5" ht="10.5" customHeight="1" x14ac:dyDescent="0.3">
      <c r="A1123" s="48">
        <f t="shared" si="19"/>
        <v>1122</v>
      </c>
      <c r="B1123" s="49"/>
      <c r="C1123" s="49"/>
      <c r="D1123" s="49"/>
      <c r="E1123" s="49"/>
    </row>
    <row r="1124" spans="1:5" ht="10.5" customHeight="1" x14ac:dyDescent="0.3">
      <c r="A1124" s="48">
        <f t="shared" si="19"/>
        <v>1123</v>
      </c>
      <c r="B1124" s="49"/>
      <c r="C1124" s="49"/>
      <c r="D1124" s="49"/>
      <c r="E1124" s="49"/>
    </row>
    <row r="1125" spans="1:5" ht="10.5" customHeight="1" x14ac:dyDescent="0.3">
      <c r="A1125" s="48">
        <f t="shared" si="19"/>
        <v>1124</v>
      </c>
      <c r="B1125" s="49"/>
      <c r="C1125" s="49"/>
      <c r="D1125" s="49"/>
      <c r="E1125" s="49"/>
    </row>
    <row r="1126" spans="1:5" ht="10.5" customHeight="1" x14ac:dyDescent="0.3">
      <c r="A1126" s="48">
        <f t="shared" si="19"/>
        <v>1125</v>
      </c>
      <c r="B1126" s="50"/>
      <c r="C1126" s="50"/>
      <c r="D1126" s="50"/>
      <c r="E1126" s="50"/>
    </row>
    <row r="1127" spans="1:5" ht="10.5" customHeight="1" x14ac:dyDescent="0.3">
      <c r="A1127" s="48">
        <f t="shared" si="19"/>
        <v>1126</v>
      </c>
      <c r="B1127" s="49"/>
      <c r="C1127" s="49"/>
      <c r="D1127" s="49"/>
      <c r="E1127" s="49"/>
    </row>
    <row r="1128" spans="1:5" ht="10.5" customHeight="1" x14ac:dyDescent="0.3">
      <c r="A1128" s="48">
        <f t="shared" si="19"/>
        <v>1127</v>
      </c>
      <c r="B1128" s="49"/>
      <c r="C1128" s="49"/>
      <c r="D1128" s="49"/>
      <c r="E1128" s="49"/>
    </row>
    <row r="1129" spans="1:5" ht="10.5" customHeight="1" x14ac:dyDescent="0.3">
      <c r="A1129" s="48">
        <f t="shared" si="19"/>
        <v>1128</v>
      </c>
      <c r="B1129" s="49"/>
      <c r="C1129" s="49"/>
      <c r="D1129" s="49"/>
      <c r="E1129" s="49"/>
    </row>
    <row r="1130" spans="1:5" ht="10.5" customHeight="1" x14ac:dyDescent="0.3">
      <c r="A1130" s="48">
        <f t="shared" si="19"/>
        <v>1129</v>
      </c>
      <c r="B1130" s="49"/>
      <c r="C1130" s="49"/>
      <c r="D1130" s="49"/>
      <c r="E1130" s="49"/>
    </row>
    <row r="1131" spans="1:5" ht="10.5" customHeight="1" x14ac:dyDescent="0.3">
      <c r="A1131" s="48">
        <f t="shared" si="19"/>
        <v>1130</v>
      </c>
      <c r="B1131" s="49"/>
      <c r="C1131" s="49"/>
      <c r="D1131" s="49"/>
      <c r="E1131" s="49"/>
    </row>
    <row r="1132" spans="1:5" ht="10.5" customHeight="1" x14ac:dyDescent="0.3">
      <c r="A1132" s="48">
        <f t="shared" si="19"/>
        <v>1131</v>
      </c>
      <c r="B1132" s="49"/>
      <c r="C1132" s="49"/>
      <c r="D1132" s="49"/>
      <c r="E1132" s="49"/>
    </row>
    <row r="1133" spans="1:5" ht="10.5" customHeight="1" x14ac:dyDescent="0.3">
      <c r="A1133" s="48">
        <f t="shared" si="19"/>
        <v>1132</v>
      </c>
      <c r="B1133" s="50"/>
      <c r="C1133" s="50"/>
      <c r="D1133" s="49"/>
      <c r="E1133" s="50"/>
    </row>
    <row r="1134" spans="1:5" ht="10.5" customHeight="1" x14ac:dyDescent="0.3">
      <c r="A1134" s="48">
        <f t="shared" si="19"/>
        <v>1133</v>
      </c>
      <c r="B1134" s="49"/>
      <c r="C1134" s="49"/>
      <c r="D1134" s="49"/>
      <c r="E1134" s="49"/>
    </row>
    <row r="1135" spans="1:5" ht="10.5" customHeight="1" x14ac:dyDescent="0.3">
      <c r="A1135" s="48">
        <f t="shared" si="19"/>
        <v>1134</v>
      </c>
      <c r="B1135" s="49"/>
      <c r="C1135" s="49"/>
      <c r="D1135" s="49"/>
      <c r="E1135" s="49"/>
    </row>
    <row r="1136" spans="1:5" ht="10.5" customHeight="1" x14ac:dyDescent="0.3">
      <c r="A1136" s="48">
        <f t="shared" si="19"/>
        <v>1135</v>
      </c>
      <c r="B1136" s="49"/>
      <c r="C1136" s="49"/>
      <c r="D1136" s="49"/>
      <c r="E1136" s="49"/>
    </row>
    <row r="1137" spans="1:5" ht="10.5" customHeight="1" x14ac:dyDescent="0.3">
      <c r="A1137" s="48">
        <f t="shared" si="19"/>
        <v>1136</v>
      </c>
      <c r="B1137" s="49"/>
      <c r="C1137" s="49"/>
      <c r="D1137" s="49"/>
      <c r="E1137" s="49"/>
    </row>
    <row r="1138" spans="1:5" ht="10.5" customHeight="1" x14ac:dyDescent="0.3">
      <c r="A1138" s="48">
        <f t="shared" si="19"/>
        <v>1137</v>
      </c>
      <c r="B1138" s="49"/>
      <c r="C1138" s="49"/>
      <c r="D1138" s="49"/>
      <c r="E1138" s="49"/>
    </row>
    <row r="1139" spans="1:5" ht="10.5" customHeight="1" x14ac:dyDescent="0.3">
      <c r="A1139" s="48">
        <f t="shared" si="19"/>
        <v>1138</v>
      </c>
      <c r="B1139" s="49"/>
      <c r="C1139" s="49"/>
      <c r="D1139" s="49"/>
      <c r="E1139" s="49"/>
    </row>
    <row r="1140" spans="1:5" ht="10.5" customHeight="1" x14ac:dyDescent="0.3">
      <c r="A1140" s="48">
        <f t="shared" si="19"/>
        <v>1139</v>
      </c>
      <c r="B1140" s="49"/>
      <c r="C1140" s="49"/>
      <c r="D1140" s="49"/>
      <c r="E1140" s="49"/>
    </row>
    <row r="1141" spans="1:5" ht="10.5" customHeight="1" x14ac:dyDescent="0.3">
      <c r="A1141" s="48">
        <f t="shared" si="19"/>
        <v>1140</v>
      </c>
      <c r="B1141" s="49"/>
      <c r="C1141" s="49"/>
      <c r="D1141" s="49"/>
      <c r="E1141" s="49"/>
    </row>
    <row r="1142" spans="1:5" ht="10.5" customHeight="1" x14ac:dyDescent="0.3">
      <c r="A1142" s="48">
        <f t="shared" si="19"/>
        <v>1141</v>
      </c>
      <c r="B1142" s="49"/>
      <c r="C1142" s="49"/>
      <c r="D1142" s="49"/>
      <c r="E1142" s="49"/>
    </row>
    <row r="1143" spans="1:5" ht="10.5" customHeight="1" x14ac:dyDescent="0.3">
      <c r="A1143" s="48">
        <f t="shared" si="19"/>
        <v>1142</v>
      </c>
      <c r="B1143" s="49"/>
      <c r="C1143" s="49"/>
      <c r="D1143" s="49"/>
      <c r="E1143" s="49"/>
    </row>
    <row r="1144" spans="1:5" ht="10.5" customHeight="1" x14ac:dyDescent="0.3">
      <c r="A1144" s="48">
        <f t="shared" si="19"/>
        <v>1143</v>
      </c>
      <c r="B1144" s="49"/>
      <c r="C1144" s="49"/>
      <c r="D1144" s="49"/>
      <c r="E1144" s="49"/>
    </row>
    <row r="1145" spans="1:5" ht="10.5" customHeight="1" x14ac:dyDescent="0.3">
      <c r="A1145" s="48">
        <f t="shared" si="19"/>
        <v>1144</v>
      </c>
      <c r="B1145" s="49"/>
      <c r="C1145" s="49"/>
      <c r="D1145" s="49"/>
      <c r="E1145" s="49"/>
    </row>
    <row r="1146" spans="1:5" ht="10.5" customHeight="1" x14ac:dyDescent="0.3">
      <c r="A1146" s="48">
        <f t="shared" si="19"/>
        <v>1145</v>
      </c>
      <c r="B1146" s="49"/>
      <c r="C1146" s="49"/>
      <c r="D1146" s="49"/>
      <c r="E1146" s="49"/>
    </row>
    <row r="1147" spans="1:5" ht="10.5" customHeight="1" x14ac:dyDescent="0.3">
      <c r="A1147" s="48">
        <f t="shared" si="19"/>
        <v>1146</v>
      </c>
      <c r="B1147" s="49"/>
      <c r="C1147" s="49"/>
      <c r="D1147" s="49"/>
      <c r="E1147" s="49"/>
    </row>
    <row r="1148" spans="1:5" ht="10.5" customHeight="1" x14ac:dyDescent="0.3">
      <c r="A1148" s="48">
        <f t="shared" si="19"/>
        <v>1147</v>
      </c>
      <c r="B1148" s="49"/>
      <c r="C1148" s="49"/>
      <c r="D1148" s="49"/>
      <c r="E1148" s="49"/>
    </row>
    <row r="1149" spans="1:5" ht="10.5" customHeight="1" x14ac:dyDescent="0.3">
      <c r="A1149" s="48">
        <f t="shared" si="19"/>
        <v>1148</v>
      </c>
      <c r="B1149" s="49"/>
      <c r="C1149" s="49"/>
      <c r="D1149" s="49"/>
      <c r="E1149" s="49"/>
    </row>
    <row r="1150" spans="1:5" ht="10.5" customHeight="1" x14ac:dyDescent="0.3">
      <c r="A1150" s="48">
        <f t="shared" si="19"/>
        <v>1149</v>
      </c>
      <c r="B1150" s="49"/>
      <c r="C1150" s="49"/>
      <c r="D1150" s="49"/>
      <c r="E1150" s="49"/>
    </row>
    <row r="1151" spans="1:5" ht="10.5" customHeight="1" x14ac:dyDescent="0.3">
      <c r="A1151" s="48">
        <f t="shared" si="19"/>
        <v>1150</v>
      </c>
      <c r="B1151" s="49"/>
      <c r="C1151" s="49"/>
      <c r="D1151" s="49"/>
      <c r="E1151" s="49"/>
    </row>
    <row r="1152" spans="1:5" ht="10.5" customHeight="1" x14ac:dyDescent="0.3">
      <c r="A1152" s="48">
        <f t="shared" si="19"/>
        <v>1151</v>
      </c>
      <c r="B1152" s="49"/>
      <c r="C1152" s="49"/>
      <c r="D1152" s="49"/>
      <c r="E1152" s="49"/>
    </row>
    <row r="1153" spans="1:5" ht="10.5" customHeight="1" x14ac:dyDescent="0.3">
      <c r="A1153" s="48">
        <f t="shared" si="19"/>
        <v>1152</v>
      </c>
      <c r="B1153" s="49"/>
      <c r="C1153" s="49"/>
      <c r="D1153" s="49"/>
      <c r="E1153" s="49"/>
    </row>
    <row r="1154" spans="1:5" ht="10.5" customHeight="1" x14ac:dyDescent="0.3">
      <c r="A1154" s="48">
        <f t="shared" si="19"/>
        <v>1153</v>
      </c>
      <c r="B1154" s="49"/>
      <c r="C1154" s="49"/>
      <c r="D1154" s="49"/>
      <c r="E1154" s="49"/>
    </row>
    <row r="1155" spans="1:5" ht="10.5" customHeight="1" x14ac:dyDescent="0.3">
      <c r="A1155" s="48">
        <f t="shared" ref="A1155:A1218" si="20">A1154+1</f>
        <v>1154</v>
      </c>
      <c r="B1155" s="49"/>
      <c r="C1155" s="49"/>
      <c r="D1155" s="49"/>
      <c r="E1155" s="49"/>
    </row>
    <row r="1156" spans="1:5" ht="10.5" customHeight="1" x14ac:dyDescent="0.3">
      <c r="A1156" s="48">
        <f t="shared" si="20"/>
        <v>1155</v>
      </c>
      <c r="B1156" s="49"/>
      <c r="C1156" s="49"/>
      <c r="D1156" s="49"/>
      <c r="E1156" s="49"/>
    </row>
    <row r="1157" spans="1:5" ht="10.5" customHeight="1" x14ac:dyDescent="0.3">
      <c r="A1157" s="48">
        <f t="shared" si="20"/>
        <v>1156</v>
      </c>
      <c r="B1157" s="49"/>
      <c r="C1157" s="49"/>
      <c r="D1157" s="49"/>
      <c r="E1157" s="49"/>
    </row>
    <row r="1158" spans="1:5" ht="10.5" customHeight="1" x14ac:dyDescent="0.3">
      <c r="A1158" s="48">
        <f t="shared" si="20"/>
        <v>1157</v>
      </c>
      <c r="B1158" s="49"/>
      <c r="C1158" s="49"/>
      <c r="D1158" s="49"/>
      <c r="E1158" s="49"/>
    </row>
    <row r="1159" spans="1:5" ht="10.5" customHeight="1" x14ac:dyDescent="0.3">
      <c r="A1159" s="48">
        <f t="shared" si="20"/>
        <v>1158</v>
      </c>
      <c r="B1159" s="49"/>
      <c r="C1159" s="49"/>
      <c r="D1159" s="49"/>
      <c r="E1159" s="49"/>
    </row>
    <row r="1160" spans="1:5" ht="10.5" customHeight="1" x14ac:dyDescent="0.3">
      <c r="A1160" s="48">
        <f t="shared" si="20"/>
        <v>1159</v>
      </c>
      <c r="B1160" s="49"/>
      <c r="C1160" s="49"/>
      <c r="D1160" s="49"/>
      <c r="E1160" s="49"/>
    </row>
    <row r="1161" spans="1:5" ht="10.5" customHeight="1" x14ac:dyDescent="0.3">
      <c r="A1161" s="48">
        <f t="shared" si="20"/>
        <v>1160</v>
      </c>
      <c r="B1161" s="49"/>
      <c r="C1161" s="49"/>
      <c r="D1161" s="49"/>
      <c r="E1161" s="49"/>
    </row>
    <row r="1162" spans="1:5" ht="10.5" customHeight="1" x14ac:dyDescent="0.3">
      <c r="A1162" s="48">
        <f t="shared" si="20"/>
        <v>1161</v>
      </c>
      <c r="B1162" s="49"/>
      <c r="C1162" s="49"/>
      <c r="D1162" s="49"/>
      <c r="E1162" s="49"/>
    </row>
    <row r="1163" spans="1:5" ht="10.5" customHeight="1" x14ac:dyDescent="0.3">
      <c r="A1163" s="48">
        <f t="shared" si="20"/>
        <v>1162</v>
      </c>
      <c r="B1163" s="49"/>
      <c r="C1163" s="49"/>
      <c r="D1163" s="49"/>
      <c r="E1163" s="49"/>
    </row>
    <row r="1164" spans="1:5" ht="10.5" customHeight="1" x14ac:dyDescent="0.3">
      <c r="A1164" s="48">
        <f t="shared" si="20"/>
        <v>1163</v>
      </c>
      <c r="B1164" s="49"/>
      <c r="C1164" s="49"/>
      <c r="D1164" s="49"/>
      <c r="E1164" s="49"/>
    </row>
    <row r="1165" spans="1:5" ht="10.5" customHeight="1" x14ac:dyDescent="0.3">
      <c r="A1165" s="48">
        <f t="shared" si="20"/>
        <v>1164</v>
      </c>
      <c r="B1165" s="49"/>
      <c r="C1165" s="49"/>
      <c r="D1165" s="49"/>
      <c r="E1165" s="49"/>
    </row>
    <row r="1166" spans="1:5" ht="10.5" customHeight="1" x14ac:dyDescent="0.3">
      <c r="A1166" s="48">
        <f t="shared" si="20"/>
        <v>1165</v>
      </c>
      <c r="B1166" s="49"/>
      <c r="C1166" s="49"/>
      <c r="D1166" s="49"/>
      <c r="E1166" s="49"/>
    </row>
    <row r="1167" spans="1:5" ht="10.5" customHeight="1" x14ac:dyDescent="0.3">
      <c r="A1167" s="48">
        <f t="shared" si="20"/>
        <v>1166</v>
      </c>
      <c r="B1167" s="49"/>
      <c r="C1167" s="49"/>
      <c r="D1167" s="49"/>
      <c r="E1167" s="49"/>
    </row>
    <row r="1168" spans="1:5" ht="10.5" customHeight="1" x14ac:dyDescent="0.3">
      <c r="A1168" s="48">
        <f t="shared" si="20"/>
        <v>1167</v>
      </c>
      <c r="B1168" s="49"/>
      <c r="C1168" s="49"/>
      <c r="D1168" s="49"/>
      <c r="E1168" s="49"/>
    </row>
    <row r="1169" spans="1:5" ht="10.5" customHeight="1" x14ac:dyDescent="0.3">
      <c r="A1169" s="48">
        <f t="shared" si="20"/>
        <v>1168</v>
      </c>
      <c r="B1169" s="49"/>
      <c r="C1169" s="49"/>
      <c r="D1169" s="49"/>
      <c r="E1169" s="49"/>
    </row>
    <row r="1170" spans="1:5" ht="10.5" customHeight="1" x14ac:dyDescent="0.3">
      <c r="A1170" s="48">
        <f t="shared" si="20"/>
        <v>1169</v>
      </c>
      <c r="B1170" s="49"/>
      <c r="C1170" s="49"/>
      <c r="D1170" s="49"/>
      <c r="E1170" s="49"/>
    </row>
    <row r="1171" spans="1:5" ht="10.5" customHeight="1" x14ac:dyDescent="0.3">
      <c r="A1171" s="48">
        <f t="shared" si="20"/>
        <v>1170</v>
      </c>
      <c r="B1171" s="49"/>
      <c r="C1171" s="49"/>
      <c r="D1171" s="49"/>
      <c r="E1171" s="49"/>
    </row>
    <row r="1172" spans="1:5" ht="10.5" customHeight="1" x14ac:dyDescent="0.3">
      <c r="A1172" s="48">
        <f t="shared" si="20"/>
        <v>1171</v>
      </c>
      <c r="B1172" s="49"/>
      <c r="C1172" s="49"/>
      <c r="D1172" s="49"/>
      <c r="E1172" s="49"/>
    </row>
    <row r="1173" spans="1:5" ht="10.5" customHeight="1" x14ac:dyDescent="0.3">
      <c r="A1173" s="48">
        <f t="shared" si="20"/>
        <v>1172</v>
      </c>
      <c r="B1173" s="49"/>
      <c r="C1173" s="49"/>
      <c r="D1173" s="49"/>
      <c r="E1173" s="49"/>
    </row>
    <row r="1174" spans="1:5" ht="10.5" customHeight="1" x14ac:dyDescent="0.3">
      <c r="A1174" s="48">
        <f t="shared" si="20"/>
        <v>1173</v>
      </c>
      <c r="B1174" s="49"/>
      <c r="C1174" s="49"/>
      <c r="D1174" s="49"/>
      <c r="E1174" s="49"/>
    </row>
    <row r="1175" spans="1:5" ht="10.5" customHeight="1" x14ac:dyDescent="0.3">
      <c r="A1175" s="48">
        <f t="shared" si="20"/>
        <v>1174</v>
      </c>
      <c r="B1175" s="49"/>
      <c r="C1175" s="49"/>
      <c r="D1175" s="49"/>
      <c r="E1175" s="49"/>
    </row>
    <row r="1176" spans="1:5" ht="10.5" customHeight="1" x14ac:dyDescent="0.3">
      <c r="A1176" s="48">
        <f t="shared" si="20"/>
        <v>1175</v>
      </c>
      <c r="B1176" s="49"/>
      <c r="C1176" s="49"/>
      <c r="D1176" s="49"/>
      <c r="E1176" s="49"/>
    </row>
    <row r="1177" spans="1:5" ht="10.5" customHeight="1" x14ac:dyDescent="0.3">
      <c r="A1177" s="48">
        <f t="shared" si="20"/>
        <v>1176</v>
      </c>
      <c r="B1177" s="49"/>
      <c r="C1177" s="49"/>
      <c r="D1177" s="49"/>
      <c r="E1177" s="49"/>
    </row>
    <row r="1178" spans="1:5" ht="10.5" customHeight="1" x14ac:dyDescent="0.3">
      <c r="A1178" s="48">
        <f t="shared" si="20"/>
        <v>1177</v>
      </c>
      <c r="B1178" s="49"/>
      <c r="C1178" s="49"/>
      <c r="D1178" s="49"/>
      <c r="E1178" s="49"/>
    </row>
    <row r="1179" spans="1:5" ht="10.5" customHeight="1" x14ac:dyDescent="0.3">
      <c r="A1179" s="48">
        <f t="shared" si="20"/>
        <v>1178</v>
      </c>
      <c r="B1179" s="49"/>
      <c r="C1179" s="49"/>
      <c r="D1179" s="49"/>
      <c r="E1179" s="49"/>
    </row>
    <row r="1180" spans="1:5" ht="10.5" customHeight="1" x14ac:dyDescent="0.3">
      <c r="A1180" s="48">
        <f t="shared" si="20"/>
        <v>1179</v>
      </c>
      <c r="B1180" s="49"/>
      <c r="C1180" s="49"/>
      <c r="D1180" s="49"/>
      <c r="E1180" s="49"/>
    </row>
    <row r="1181" spans="1:5" ht="10.5" customHeight="1" x14ac:dyDescent="0.3">
      <c r="A1181" s="48">
        <f t="shared" si="20"/>
        <v>1180</v>
      </c>
      <c r="B1181" s="49"/>
      <c r="C1181" s="49"/>
      <c r="D1181" s="49"/>
      <c r="E1181" s="49"/>
    </row>
    <row r="1182" spans="1:5" ht="10.5" customHeight="1" x14ac:dyDescent="0.3">
      <c r="A1182" s="48">
        <f t="shared" si="20"/>
        <v>1181</v>
      </c>
      <c r="B1182" s="49"/>
      <c r="C1182" s="49"/>
      <c r="D1182" s="49"/>
      <c r="E1182" s="49"/>
    </row>
    <row r="1183" spans="1:5" ht="10.5" customHeight="1" x14ac:dyDescent="0.3">
      <c r="A1183" s="48">
        <f t="shared" si="20"/>
        <v>1182</v>
      </c>
      <c r="B1183" s="49"/>
      <c r="C1183" s="49"/>
      <c r="D1183" s="49"/>
      <c r="E1183" s="49"/>
    </row>
    <row r="1184" spans="1:5" ht="10.5" customHeight="1" x14ac:dyDescent="0.3">
      <c r="A1184" s="48">
        <f t="shared" si="20"/>
        <v>1183</v>
      </c>
      <c r="B1184" s="49"/>
      <c r="C1184" s="49"/>
      <c r="D1184" s="49"/>
      <c r="E1184" s="49"/>
    </row>
    <row r="1185" spans="1:5" ht="10.5" customHeight="1" x14ac:dyDescent="0.3">
      <c r="A1185" s="48">
        <f t="shared" si="20"/>
        <v>1184</v>
      </c>
      <c r="B1185" s="49"/>
      <c r="C1185" s="49"/>
      <c r="D1185" s="49"/>
      <c r="E1185" s="49"/>
    </row>
    <row r="1186" spans="1:5" ht="10.5" customHeight="1" x14ac:dyDescent="0.3">
      <c r="A1186" s="48">
        <f t="shared" si="20"/>
        <v>1185</v>
      </c>
      <c r="B1186" s="49"/>
      <c r="C1186" s="49"/>
      <c r="D1186" s="49"/>
      <c r="E1186" s="49"/>
    </row>
    <row r="1187" spans="1:5" ht="10.5" customHeight="1" x14ac:dyDescent="0.3">
      <c r="A1187" s="48">
        <f t="shared" si="20"/>
        <v>1186</v>
      </c>
      <c r="B1187" s="49"/>
      <c r="C1187" s="49"/>
      <c r="D1187" s="49"/>
      <c r="E1187" s="49"/>
    </row>
    <row r="1188" spans="1:5" ht="10.5" customHeight="1" x14ac:dyDescent="0.3">
      <c r="A1188" s="48">
        <f t="shared" si="20"/>
        <v>1187</v>
      </c>
      <c r="B1188" s="49"/>
      <c r="C1188" s="49"/>
      <c r="D1188" s="49"/>
      <c r="E1188" s="49"/>
    </row>
    <row r="1189" spans="1:5" ht="10.5" customHeight="1" x14ac:dyDescent="0.3">
      <c r="A1189" s="48">
        <f t="shared" si="20"/>
        <v>1188</v>
      </c>
      <c r="B1189" s="49"/>
      <c r="C1189" s="49"/>
      <c r="D1189" s="49"/>
      <c r="E1189" s="49"/>
    </row>
    <row r="1190" spans="1:5" ht="10.5" customHeight="1" x14ac:dyDescent="0.3">
      <c r="A1190" s="48">
        <f t="shared" si="20"/>
        <v>1189</v>
      </c>
      <c r="B1190" s="49"/>
      <c r="C1190" s="49"/>
      <c r="D1190" s="49"/>
      <c r="E1190" s="49"/>
    </row>
    <row r="1191" spans="1:5" ht="10.5" customHeight="1" x14ac:dyDescent="0.3">
      <c r="A1191" s="48">
        <f t="shared" si="20"/>
        <v>1190</v>
      </c>
      <c r="B1191" s="49"/>
      <c r="C1191" s="49"/>
      <c r="D1191" s="49"/>
      <c r="E1191" s="49"/>
    </row>
    <row r="1192" spans="1:5" ht="10.5" customHeight="1" x14ac:dyDescent="0.3">
      <c r="A1192" s="48">
        <f t="shared" si="20"/>
        <v>1191</v>
      </c>
      <c r="B1192" s="49"/>
      <c r="C1192" s="49"/>
      <c r="D1192" s="49"/>
      <c r="E1192" s="49"/>
    </row>
    <row r="1193" spans="1:5" ht="10.5" customHeight="1" x14ac:dyDescent="0.3">
      <c r="A1193" s="48">
        <f t="shared" si="20"/>
        <v>1192</v>
      </c>
      <c r="B1193" s="49"/>
      <c r="C1193" s="49"/>
      <c r="D1193" s="49"/>
      <c r="E1193" s="49"/>
    </row>
    <row r="1194" spans="1:5" ht="10.5" customHeight="1" x14ac:dyDescent="0.3">
      <c r="A1194" s="48">
        <f t="shared" si="20"/>
        <v>1193</v>
      </c>
      <c r="B1194" s="49"/>
      <c r="C1194" s="49"/>
      <c r="D1194" s="49"/>
      <c r="E1194" s="49"/>
    </row>
    <row r="1195" spans="1:5" ht="10.5" customHeight="1" x14ac:dyDescent="0.3">
      <c r="A1195" s="48">
        <f t="shared" si="20"/>
        <v>1194</v>
      </c>
      <c r="B1195" s="49"/>
      <c r="C1195" s="49"/>
      <c r="D1195" s="49"/>
      <c r="E1195" s="49"/>
    </row>
    <row r="1196" spans="1:5" ht="10.5" customHeight="1" x14ac:dyDescent="0.3">
      <c r="A1196" s="48">
        <f t="shared" si="20"/>
        <v>1195</v>
      </c>
      <c r="B1196" s="49"/>
      <c r="C1196" s="49"/>
      <c r="D1196" s="49"/>
      <c r="E1196" s="49"/>
    </row>
    <row r="1197" spans="1:5" ht="10.5" customHeight="1" x14ac:dyDescent="0.3">
      <c r="A1197" s="48">
        <f t="shared" si="20"/>
        <v>1196</v>
      </c>
      <c r="B1197" s="49"/>
      <c r="C1197" s="49"/>
      <c r="D1197" s="49"/>
      <c r="E1197" s="49"/>
    </row>
    <row r="1198" spans="1:5" ht="10.5" customHeight="1" x14ac:dyDescent="0.3">
      <c r="A1198" s="48">
        <f t="shared" si="20"/>
        <v>1197</v>
      </c>
      <c r="B1198" s="49"/>
      <c r="C1198" s="49"/>
      <c r="D1198" s="49"/>
      <c r="E1198" s="49"/>
    </row>
    <row r="1199" spans="1:5" ht="10.5" customHeight="1" x14ac:dyDescent="0.3">
      <c r="A1199" s="48">
        <f t="shared" si="20"/>
        <v>1198</v>
      </c>
      <c r="B1199" s="49"/>
      <c r="C1199" s="49"/>
      <c r="D1199" s="49"/>
      <c r="E1199" s="49"/>
    </row>
    <row r="1200" spans="1:5" ht="10.5" customHeight="1" x14ac:dyDescent="0.3">
      <c r="A1200" s="48">
        <f t="shared" si="20"/>
        <v>1199</v>
      </c>
      <c r="B1200" s="49"/>
      <c r="C1200" s="49"/>
      <c r="D1200" s="49"/>
      <c r="E1200" s="49"/>
    </row>
    <row r="1201" spans="1:5" ht="10.5" customHeight="1" x14ac:dyDescent="0.3">
      <c r="A1201" s="48">
        <f t="shared" si="20"/>
        <v>1200</v>
      </c>
      <c r="B1201" s="49"/>
      <c r="C1201" s="49"/>
      <c r="D1201" s="49"/>
      <c r="E1201" s="49"/>
    </row>
    <row r="1202" spans="1:5" ht="10.5" customHeight="1" x14ac:dyDescent="0.3">
      <c r="A1202" s="48">
        <f t="shared" si="20"/>
        <v>1201</v>
      </c>
      <c r="B1202" s="49"/>
      <c r="C1202" s="49"/>
      <c r="D1202" s="49"/>
      <c r="E1202" s="49"/>
    </row>
    <row r="1203" spans="1:5" ht="10.5" customHeight="1" x14ac:dyDescent="0.3">
      <c r="A1203" s="48">
        <f t="shared" si="20"/>
        <v>1202</v>
      </c>
      <c r="B1203" s="49"/>
      <c r="C1203" s="49"/>
      <c r="D1203" s="49"/>
      <c r="E1203" s="49"/>
    </row>
    <row r="1204" spans="1:5" ht="10.5" customHeight="1" x14ac:dyDescent="0.3">
      <c r="A1204" s="48">
        <f t="shared" si="20"/>
        <v>1203</v>
      </c>
      <c r="B1204" s="49"/>
      <c r="C1204" s="49"/>
      <c r="D1204" s="49"/>
      <c r="E1204" s="49"/>
    </row>
    <row r="1205" spans="1:5" ht="10.5" customHeight="1" x14ac:dyDescent="0.3">
      <c r="A1205" s="48">
        <f t="shared" si="20"/>
        <v>1204</v>
      </c>
      <c r="B1205" s="49"/>
      <c r="C1205" s="49"/>
      <c r="D1205" s="49"/>
      <c r="E1205" s="49"/>
    </row>
    <row r="1206" spans="1:5" ht="10.5" customHeight="1" x14ac:dyDescent="0.3">
      <c r="A1206" s="48">
        <f t="shared" si="20"/>
        <v>1205</v>
      </c>
      <c r="B1206" s="49"/>
      <c r="C1206" s="49"/>
      <c r="D1206" s="49"/>
      <c r="E1206" s="49"/>
    </row>
    <row r="1207" spans="1:5" ht="10.5" customHeight="1" x14ac:dyDescent="0.3">
      <c r="A1207" s="48">
        <f t="shared" si="20"/>
        <v>1206</v>
      </c>
      <c r="B1207" s="49"/>
      <c r="C1207" s="49"/>
      <c r="D1207" s="49"/>
      <c r="E1207" s="49"/>
    </row>
    <row r="1208" spans="1:5" ht="10.5" customHeight="1" x14ac:dyDescent="0.3">
      <c r="A1208" s="48">
        <f t="shared" si="20"/>
        <v>1207</v>
      </c>
      <c r="B1208" s="49"/>
      <c r="C1208" s="49"/>
      <c r="D1208" s="49"/>
      <c r="E1208" s="49"/>
    </row>
    <row r="1209" spans="1:5" ht="10.5" customHeight="1" x14ac:dyDescent="0.3">
      <c r="A1209" s="48">
        <f t="shared" si="20"/>
        <v>1208</v>
      </c>
      <c r="B1209" s="49"/>
      <c r="C1209" s="49"/>
      <c r="D1209" s="49"/>
      <c r="E1209" s="49"/>
    </row>
    <row r="1210" spans="1:5" ht="10.5" customHeight="1" x14ac:dyDescent="0.3">
      <c r="A1210" s="48">
        <f t="shared" si="20"/>
        <v>1209</v>
      </c>
      <c r="B1210" s="49"/>
      <c r="C1210" s="49"/>
      <c r="D1210" s="49"/>
      <c r="E1210" s="49"/>
    </row>
    <row r="1211" spans="1:5" ht="10.5" customHeight="1" x14ac:dyDescent="0.3">
      <c r="A1211" s="48">
        <f t="shared" si="20"/>
        <v>1210</v>
      </c>
      <c r="B1211" s="49"/>
      <c r="C1211" s="49"/>
      <c r="D1211" s="49"/>
      <c r="E1211" s="49"/>
    </row>
    <row r="1212" spans="1:5" ht="10.5" customHeight="1" x14ac:dyDescent="0.3">
      <c r="A1212" s="48">
        <f t="shared" si="20"/>
        <v>1211</v>
      </c>
      <c r="B1212" s="49"/>
      <c r="C1212" s="49"/>
      <c r="D1212" s="49"/>
      <c r="E1212" s="49"/>
    </row>
    <row r="1213" spans="1:5" ht="10.5" customHeight="1" x14ac:dyDescent="0.3">
      <c r="A1213" s="48">
        <f t="shared" si="20"/>
        <v>1212</v>
      </c>
      <c r="B1213" s="49"/>
      <c r="C1213" s="49"/>
      <c r="D1213" s="49"/>
      <c r="E1213" s="49"/>
    </row>
    <row r="1214" spans="1:5" ht="10.5" customHeight="1" x14ac:dyDescent="0.3">
      <c r="A1214" s="48">
        <f t="shared" si="20"/>
        <v>1213</v>
      </c>
      <c r="B1214" s="49"/>
      <c r="C1214" s="49"/>
      <c r="D1214" s="49"/>
      <c r="E1214" s="49"/>
    </row>
    <row r="1215" spans="1:5" ht="10.5" customHeight="1" x14ac:dyDescent="0.3">
      <c r="A1215" s="48">
        <f t="shared" si="20"/>
        <v>1214</v>
      </c>
      <c r="B1215" s="49"/>
      <c r="C1215" s="49"/>
      <c r="D1215" s="49"/>
      <c r="E1215" s="49"/>
    </row>
    <row r="1216" spans="1:5" ht="10.5" customHeight="1" x14ac:dyDescent="0.3">
      <c r="A1216" s="48">
        <f t="shared" si="20"/>
        <v>1215</v>
      </c>
      <c r="B1216" s="49"/>
      <c r="C1216" s="49"/>
      <c r="D1216" s="49"/>
      <c r="E1216" s="49"/>
    </row>
    <row r="1217" spans="1:5" ht="10.5" customHeight="1" x14ac:dyDescent="0.3">
      <c r="A1217" s="48">
        <f t="shared" si="20"/>
        <v>1216</v>
      </c>
      <c r="B1217" s="49"/>
      <c r="C1217" s="49"/>
      <c r="D1217" s="49"/>
      <c r="E1217" s="49"/>
    </row>
    <row r="1218" spans="1:5" ht="10.5" customHeight="1" x14ac:dyDescent="0.3">
      <c r="A1218" s="48">
        <f t="shared" si="20"/>
        <v>1217</v>
      </c>
      <c r="B1218" s="49"/>
      <c r="C1218" s="49"/>
      <c r="D1218" s="49"/>
      <c r="E1218" s="49"/>
    </row>
    <row r="1219" spans="1:5" ht="10.5" customHeight="1" x14ac:dyDescent="0.3">
      <c r="A1219" s="48">
        <f t="shared" ref="A1219:A1282" si="21">A1218+1</f>
        <v>1218</v>
      </c>
      <c r="B1219" s="49"/>
      <c r="C1219" s="49"/>
      <c r="D1219" s="49"/>
      <c r="E1219" s="49"/>
    </row>
    <row r="1220" spans="1:5" ht="10.5" customHeight="1" x14ac:dyDescent="0.3">
      <c r="A1220" s="48">
        <f t="shared" si="21"/>
        <v>1219</v>
      </c>
      <c r="B1220" s="49"/>
      <c r="C1220" s="49"/>
      <c r="D1220" s="49"/>
      <c r="E1220" s="49"/>
    </row>
    <row r="1221" spans="1:5" ht="10.5" customHeight="1" x14ac:dyDescent="0.3">
      <c r="A1221" s="48">
        <f t="shared" si="21"/>
        <v>1220</v>
      </c>
      <c r="B1221" s="49"/>
      <c r="C1221" s="49"/>
      <c r="D1221" s="49"/>
      <c r="E1221" s="49"/>
    </row>
    <row r="1222" spans="1:5" ht="10.5" customHeight="1" x14ac:dyDescent="0.3">
      <c r="A1222" s="48">
        <f t="shared" si="21"/>
        <v>1221</v>
      </c>
      <c r="B1222" s="49"/>
      <c r="C1222" s="49"/>
      <c r="D1222" s="49"/>
      <c r="E1222" s="49"/>
    </row>
    <row r="1223" spans="1:5" ht="10.5" customHeight="1" x14ac:dyDescent="0.3">
      <c r="A1223" s="48">
        <f t="shared" si="21"/>
        <v>1222</v>
      </c>
      <c r="B1223" s="49"/>
      <c r="C1223" s="49"/>
      <c r="D1223" s="49"/>
      <c r="E1223" s="49"/>
    </row>
    <row r="1224" spans="1:5" ht="10.5" customHeight="1" x14ac:dyDescent="0.3">
      <c r="A1224" s="48">
        <f t="shared" si="21"/>
        <v>1223</v>
      </c>
      <c r="B1224" s="49"/>
      <c r="C1224" s="49"/>
      <c r="D1224" s="49"/>
      <c r="E1224" s="49"/>
    </row>
    <row r="1225" spans="1:5" ht="10.5" customHeight="1" x14ac:dyDescent="0.3">
      <c r="A1225" s="48">
        <f t="shared" si="21"/>
        <v>1224</v>
      </c>
      <c r="B1225" s="49"/>
      <c r="C1225" s="49"/>
      <c r="D1225" s="49"/>
      <c r="E1225" s="49"/>
    </row>
    <row r="1226" spans="1:5" ht="10.5" customHeight="1" x14ac:dyDescent="0.3">
      <c r="A1226" s="48">
        <f t="shared" si="21"/>
        <v>1225</v>
      </c>
      <c r="B1226" s="49"/>
      <c r="C1226" s="49"/>
      <c r="D1226" s="49"/>
      <c r="E1226" s="49"/>
    </row>
    <row r="1227" spans="1:5" ht="10.5" customHeight="1" x14ac:dyDescent="0.3">
      <c r="A1227" s="48">
        <f t="shared" si="21"/>
        <v>1226</v>
      </c>
      <c r="B1227" s="49"/>
      <c r="C1227" s="49"/>
      <c r="D1227" s="49"/>
      <c r="E1227" s="49"/>
    </row>
    <row r="1228" spans="1:5" ht="10.5" customHeight="1" x14ac:dyDescent="0.3">
      <c r="A1228" s="48">
        <f t="shared" si="21"/>
        <v>1227</v>
      </c>
      <c r="B1228" s="49"/>
      <c r="C1228" s="49"/>
      <c r="D1228" s="49"/>
      <c r="E1228" s="49"/>
    </row>
    <row r="1229" spans="1:5" ht="10.5" customHeight="1" x14ac:dyDescent="0.3">
      <c r="A1229" s="48">
        <f t="shared" si="21"/>
        <v>1228</v>
      </c>
      <c r="B1229" s="49"/>
      <c r="C1229" s="49"/>
      <c r="D1229" s="49"/>
      <c r="E1229" s="49"/>
    </row>
    <row r="1230" spans="1:5" ht="10.5" customHeight="1" x14ac:dyDescent="0.3">
      <c r="A1230" s="48">
        <f t="shared" si="21"/>
        <v>1229</v>
      </c>
      <c r="B1230" s="49"/>
      <c r="C1230" s="49"/>
      <c r="D1230" s="49"/>
      <c r="E1230" s="49"/>
    </row>
    <row r="1231" spans="1:5" ht="10.5" customHeight="1" x14ac:dyDescent="0.3">
      <c r="A1231" s="48">
        <f t="shared" si="21"/>
        <v>1230</v>
      </c>
      <c r="B1231" s="49"/>
      <c r="C1231" s="49"/>
      <c r="D1231" s="49"/>
      <c r="E1231" s="49"/>
    </row>
    <row r="1232" spans="1:5" ht="10.5" customHeight="1" x14ac:dyDescent="0.3">
      <c r="A1232" s="48">
        <f t="shared" si="21"/>
        <v>1231</v>
      </c>
      <c r="B1232" s="49"/>
      <c r="C1232" s="49"/>
      <c r="D1232" s="49"/>
      <c r="E1232" s="49"/>
    </row>
    <row r="1233" spans="1:5" ht="10.5" customHeight="1" x14ac:dyDescent="0.3">
      <c r="A1233" s="48">
        <f t="shared" si="21"/>
        <v>1232</v>
      </c>
      <c r="B1233" s="49"/>
      <c r="C1233" s="49"/>
      <c r="D1233" s="49"/>
      <c r="E1233" s="49"/>
    </row>
    <row r="1234" spans="1:5" ht="10.5" customHeight="1" x14ac:dyDescent="0.3">
      <c r="A1234" s="48">
        <f t="shared" si="21"/>
        <v>1233</v>
      </c>
      <c r="B1234" s="49"/>
      <c r="C1234" s="49"/>
      <c r="D1234" s="49"/>
      <c r="E1234" s="49"/>
    </row>
    <row r="1235" spans="1:5" ht="10.5" customHeight="1" x14ac:dyDescent="0.3">
      <c r="A1235" s="48">
        <f t="shared" si="21"/>
        <v>1234</v>
      </c>
      <c r="B1235" s="49"/>
      <c r="C1235" s="49"/>
      <c r="D1235" s="49"/>
      <c r="E1235" s="49"/>
    </row>
    <row r="1236" spans="1:5" ht="10.5" customHeight="1" x14ac:dyDescent="0.3">
      <c r="A1236" s="48">
        <f t="shared" si="21"/>
        <v>1235</v>
      </c>
      <c r="B1236" s="49"/>
      <c r="C1236" s="49"/>
      <c r="D1236" s="49"/>
      <c r="E1236" s="49"/>
    </row>
    <row r="1237" spans="1:5" ht="10.5" customHeight="1" x14ac:dyDescent="0.3">
      <c r="A1237" s="48">
        <f t="shared" si="21"/>
        <v>1236</v>
      </c>
      <c r="B1237" s="49"/>
      <c r="C1237" s="49"/>
      <c r="D1237" s="49"/>
      <c r="E1237" s="49"/>
    </row>
    <row r="1238" spans="1:5" ht="10.5" customHeight="1" x14ac:dyDescent="0.3">
      <c r="A1238" s="48">
        <f t="shared" si="21"/>
        <v>1237</v>
      </c>
      <c r="B1238" s="49"/>
      <c r="C1238" s="49"/>
      <c r="D1238" s="49"/>
      <c r="E1238" s="49"/>
    </row>
    <row r="1239" spans="1:5" ht="10.5" customHeight="1" x14ac:dyDescent="0.3">
      <c r="A1239" s="48">
        <f t="shared" si="21"/>
        <v>1238</v>
      </c>
      <c r="B1239" s="49"/>
      <c r="C1239" s="49"/>
      <c r="D1239" s="49"/>
      <c r="E1239" s="49"/>
    </row>
    <row r="1240" spans="1:5" ht="10.5" customHeight="1" x14ac:dyDescent="0.3">
      <c r="A1240" s="48">
        <f t="shared" si="21"/>
        <v>1239</v>
      </c>
      <c r="B1240" s="49"/>
      <c r="C1240" s="49"/>
      <c r="D1240" s="49"/>
      <c r="E1240" s="49"/>
    </row>
    <row r="1241" spans="1:5" ht="10.5" customHeight="1" x14ac:dyDescent="0.3">
      <c r="A1241" s="48">
        <f t="shared" si="21"/>
        <v>1240</v>
      </c>
      <c r="B1241" s="49"/>
      <c r="C1241" s="49"/>
      <c r="D1241" s="49"/>
      <c r="E1241" s="49"/>
    </row>
    <row r="1242" spans="1:5" ht="10.5" customHeight="1" x14ac:dyDescent="0.3">
      <c r="A1242" s="48">
        <f t="shared" si="21"/>
        <v>1241</v>
      </c>
      <c r="B1242" s="49"/>
      <c r="C1242" s="49"/>
      <c r="D1242" s="49"/>
      <c r="E1242" s="49"/>
    </row>
    <row r="1243" spans="1:5" ht="10.5" customHeight="1" x14ac:dyDescent="0.3">
      <c r="A1243" s="48">
        <f t="shared" si="21"/>
        <v>1242</v>
      </c>
      <c r="B1243" s="49"/>
      <c r="C1243" s="49"/>
      <c r="D1243" s="49"/>
      <c r="E1243" s="49"/>
    </row>
    <row r="1244" spans="1:5" ht="10.5" customHeight="1" x14ac:dyDescent="0.3">
      <c r="A1244" s="48">
        <f t="shared" si="21"/>
        <v>1243</v>
      </c>
      <c r="B1244" s="49"/>
      <c r="C1244" s="49"/>
      <c r="D1244" s="49"/>
      <c r="E1244" s="49"/>
    </row>
    <row r="1245" spans="1:5" ht="10.5" customHeight="1" x14ac:dyDescent="0.3">
      <c r="A1245" s="48">
        <f t="shared" si="21"/>
        <v>1244</v>
      </c>
      <c r="B1245" s="49"/>
      <c r="C1245" s="49"/>
      <c r="D1245" s="49"/>
      <c r="E1245" s="49"/>
    </row>
    <row r="1246" spans="1:5" ht="10.5" customHeight="1" x14ac:dyDescent="0.3">
      <c r="A1246" s="48">
        <f t="shared" si="21"/>
        <v>1245</v>
      </c>
      <c r="B1246" s="49"/>
      <c r="C1246" s="49"/>
      <c r="D1246" s="49"/>
      <c r="E1246" s="49"/>
    </row>
    <row r="1247" spans="1:5" ht="10.5" customHeight="1" x14ac:dyDescent="0.3">
      <c r="A1247" s="48">
        <f t="shared" si="21"/>
        <v>1246</v>
      </c>
      <c r="B1247" s="49"/>
      <c r="C1247" s="49"/>
      <c r="D1247" s="49"/>
      <c r="E1247" s="49"/>
    </row>
    <row r="1248" spans="1:5" ht="10.5" customHeight="1" x14ac:dyDescent="0.3">
      <c r="A1248" s="48">
        <f t="shared" si="21"/>
        <v>1247</v>
      </c>
      <c r="B1248" s="49"/>
      <c r="C1248" s="49"/>
      <c r="D1248" s="49"/>
      <c r="E1248" s="49"/>
    </row>
    <row r="1249" spans="1:5" ht="10.5" customHeight="1" x14ac:dyDescent="0.3">
      <c r="A1249" s="48">
        <f t="shared" si="21"/>
        <v>1248</v>
      </c>
      <c r="B1249" s="49"/>
      <c r="C1249" s="49"/>
      <c r="D1249" s="49"/>
      <c r="E1249" s="49"/>
    </row>
    <row r="1250" spans="1:5" ht="10.5" customHeight="1" x14ac:dyDescent="0.3">
      <c r="A1250" s="48">
        <f t="shared" si="21"/>
        <v>1249</v>
      </c>
      <c r="B1250" s="49"/>
      <c r="C1250" s="49"/>
      <c r="D1250" s="49"/>
      <c r="E1250" s="49"/>
    </row>
    <row r="1251" spans="1:5" ht="10.5" customHeight="1" x14ac:dyDescent="0.3">
      <c r="A1251" s="48">
        <f t="shared" si="21"/>
        <v>1250</v>
      </c>
      <c r="B1251" s="49"/>
      <c r="C1251" s="49"/>
      <c r="D1251" s="49"/>
      <c r="E1251" s="49"/>
    </row>
    <row r="1252" spans="1:5" ht="10.5" customHeight="1" x14ac:dyDescent="0.3">
      <c r="A1252" s="48">
        <f t="shared" si="21"/>
        <v>1251</v>
      </c>
      <c r="B1252" s="49"/>
      <c r="C1252" s="49"/>
      <c r="D1252" s="49"/>
      <c r="E1252" s="49"/>
    </row>
    <row r="1253" spans="1:5" ht="10.5" customHeight="1" x14ac:dyDescent="0.3">
      <c r="A1253" s="48">
        <f t="shared" si="21"/>
        <v>1252</v>
      </c>
      <c r="B1253" s="49"/>
      <c r="C1253" s="49"/>
      <c r="D1253" s="49"/>
      <c r="E1253" s="49"/>
    </row>
    <row r="1254" spans="1:5" ht="10.5" customHeight="1" x14ac:dyDescent="0.3">
      <c r="A1254" s="48">
        <f t="shared" si="21"/>
        <v>1253</v>
      </c>
      <c r="B1254" s="49"/>
      <c r="C1254" s="49"/>
      <c r="D1254" s="49"/>
      <c r="E1254" s="49"/>
    </row>
    <row r="1255" spans="1:5" ht="10.5" customHeight="1" x14ac:dyDescent="0.3">
      <c r="A1255" s="48">
        <f t="shared" si="21"/>
        <v>1254</v>
      </c>
      <c r="B1255" s="49"/>
      <c r="C1255" s="49"/>
      <c r="D1255" s="49"/>
      <c r="E1255" s="49"/>
    </row>
    <row r="1256" spans="1:5" ht="10.5" customHeight="1" x14ac:dyDescent="0.3">
      <c r="A1256" s="48">
        <f t="shared" si="21"/>
        <v>1255</v>
      </c>
      <c r="B1256" s="49"/>
      <c r="C1256" s="49"/>
      <c r="D1256" s="49"/>
      <c r="E1256" s="49"/>
    </row>
    <row r="1257" spans="1:5" ht="10.5" customHeight="1" x14ac:dyDescent="0.3">
      <c r="A1257" s="48">
        <f t="shared" si="21"/>
        <v>1256</v>
      </c>
      <c r="B1257" s="49"/>
      <c r="C1257" s="49"/>
      <c r="D1257" s="49"/>
      <c r="E1257" s="49"/>
    </row>
    <row r="1258" spans="1:5" ht="10.5" customHeight="1" x14ac:dyDescent="0.3">
      <c r="A1258" s="48">
        <f t="shared" si="21"/>
        <v>1257</v>
      </c>
      <c r="B1258" s="49"/>
      <c r="C1258" s="49"/>
      <c r="D1258" s="49"/>
      <c r="E1258" s="49"/>
    </row>
    <row r="1259" spans="1:5" ht="10.5" customHeight="1" x14ac:dyDescent="0.3">
      <c r="A1259" s="48">
        <f t="shared" si="21"/>
        <v>1258</v>
      </c>
      <c r="B1259" s="49"/>
      <c r="C1259" s="49"/>
      <c r="D1259" s="49"/>
      <c r="E1259" s="49"/>
    </row>
    <row r="1260" spans="1:5" ht="10.5" customHeight="1" x14ac:dyDescent="0.3">
      <c r="A1260" s="48">
        <f t="shared" si="21"/>
        <v>1259</v>
      </c>
      <c r="B1260" s="49"/>
      <c r="C1260" s="49"/>
      <c r="D1260" s="49"/>
      <c r="E1260" s="49"/>
    </row>
    <row r="1261" spans="1:5" ht="10.5" customHeight="1" x14ac:dyDescent="0.3">
      <c r="A1261" s="48">
        <f t="shared" si="21"/>
        <v>1260</v>
      </c>
      <c r="B1261" s="49"/>
      <c r="C1261" s="49"/>
      <c r="D1261" s="49"/>
      <c r="E1261" s="49"/>
    </row>
    <row r="1262" spans="1:5" ht="10.5" customHeight="1" x14ac:dyDescent="0.3">
      <c r="A1262" s="48">
        <f t="shared" si="21"/>
        <v>1261</v>
      </c>
      <c r="B1262" s="49"/>
      <c r="C1262" s="49"/>
      <c r="D1262" s="49"/>
      <c r="E1262" s="49"/>
    </row>
    <row r="1263" spans="1:5" ht="10.5" customHeight="1" x14ac:dyDescent="0.3">
      <c r="A1263" s="48">
        <f t="shared" si="21"/>
        <v>1262</v>
      </c>
      <c r="B1263" s="49"/>
      <c r="C1263" s="49"/>
      <c r="D1263" s="49"/>
      <c r="E1263" s="49"/>
    </row>
    <row r="1264" spans="1:5" ht="10.5" customHeight="1" x14ac:dyDescent="0.3">
      <c r="A1264" s="48">
        <f t="shared" si="21"/>
        <v>1263</v>
      </c>
      <c r="B1264" s="49"/>
      <c r="C1264" s="49"/>
      <c r="D1264" s="49"/>
      <c r="E1264" s="49"/>
    </row>
    <row r="1265" spans="1:5" ht="10.5" customHeight="1" x14ac:dyDescent="0.3">
      <c r="A1265" s="48">
        <f t="shared" si="21"/>
        <v>1264</v>
      </c>
      <c r="B1265" s="49"/>
      <c r="C1265" s="49"/>
      <c r="D1265" s="49"/>
      <c r="E1265" s="49"/>
    </row>
    <row r="1266" spans="1:5" ht="10.5" customHeight="1" x14ac:dyDescent="0.3">
      <c r="A1266" s="48">
        <f t="shared" si="21"/>
        <v>1265</v>
      </c>
      <c r="B1266" s="49"/>
      <c r="C1266" s="49"/>
      <c r="D1266" s="49"/>
      <c r="E1266" s="49"/>
    </row>
    <row r="1267" spans="1:5" ht="10.5" customHeight="1" x14ac:dyDescent="0.3">
      <c r="A1267" s="48">
        <f t="shared" si="21"/>
        <v>1266</v>
      </c>
      <c r="B1267" s="49"/>
      <c r="C1267" s="49"/>
      <c r="D1267" s="49"/>
      <c r="E1267" s="49"/>
    </row>
    <row r="1268" spans="1:5" ht="10.5" customHeight="1" x14ac:dyDescent="0.3">
      <c r="A1268" s="48">
        <f t="shared" si="21"/>
        <v>1267</v>
      </c>
      <c r="B1268" s="49"/>
      <c r="C1268" s="49"/>
      <c r="D1268" s="49"/>
      <c r="E1268" s="49"/>
    </row>
    <row r="1269" spans="1:5" ht="10.5" customHeight="1" x14ac:dyDescent="0.3">
      <c r="A1269" s="48">
        <f t="shared" si="21"/>
        <v>1268</v>
      </c>
      <c r="B1269" s="49"/>
      <c r="C1269" s="49"/>
      <c r="D1269" s="49"/>
      <c r="E1269" s="49"/>
    </row>
    <row r="1270" spans="1:5" ht="10.5" customHeight="1" x14ac:dyDescent="0.3">
      <c r="A1270" s="48">
        <f t="shared" si="21"/>
        <v>1269</v>
      </c>
      <c r="B1270" s="49"/>
      <c r="C1270" s="49"/>
      <c r="D1270" s="49"/>
      <c r="E1270" s="49"/>
    </row>
    <row r="1271" spans="1:5" ht="10.5" customHeight="1" x14ac:dyDescent="0.3">
      <c r="A1271" s="48">
        <f t="shared" si="21"/>
        <v>1270</v>
      </c>
      <c r="B1271" s="49"/>
      <c r="C1271" s="49"/>
      <c r="D1271" s="49"/>
      <c r="E1271" s="49"/>
    </row>
    <row r="1272" spans="1:5" ht="10.5" customHeight="1" x14ac:dyDescent="0.3">
      <c r="A1272" s="48">
        <f t="shared" si="21"/>
        <v>1271</v>
      </c>
      <c r="B1272" s="49"/>
      <c r="C1272" s="49"/>
      <c r="D1272" s="49"/>
      <c r="E1272" s="49"/>
    </row>
    <row r="1273" spans="1:5" ht="10.5" customHeight="1" x14ac:dyDescent="0.3">
      <c r="A1273" s="48">
        <f t="shared" si="21"/>
        <v>1272</v>
      </c>
      <c r="B1273" s="49"/>
      <c r="C1273" s="49"/>
      <c r="D1273" s="49"/>
      <c r="E1273" s="49"/>
    </row>
    <row r="1274" spans="1:5" ht="10.5" customHeight="1" x14ac:dyDescent="0.3">
      <c r="A1274" s="48">
        <f t="shared" si="21"/>
        <v>1273</v>
      </c>
      <c r="B1274" s="49"/>
      <c r="C1274" s="49"/>
      <c r="D1274" s="49"/>
      <c r="E1274" s="49"/>
    </row>
    <row r="1275" spans="1:5" ht="10.5" customHeight="1" x14ac:dyDescent="0.3">
      <c r="A1275" s="48">
        <f t="shared" si="21"/>
        <v>1274</v>
      </c>
      <c r="B1275" s="49"/>
      <c r="C1275" s="49"/>
      <c r="D1275" s="49"/>
      <c r="E1275" s="49"/>
    </row>
    <row r="1276" spans="1:5" ht="10.5" customHeight="1" x14ac:dyDescent="0.3">
      <c r="A1276" s="48">
        <f t="shared" si="21"/>
        <v>1275</v>
      </c>
      <c r="B1276" s="49"/>
      <c r="C1276" s="49"/>
      <c r="D1276" s="49"/>
      <c r="E1276" s="49"/>
    </row>
    <row r="1277" spans="1:5" ht="10.5" customHeight="1" x14ac:dyDescent="0.3">
      <c r="A1277" s="48">
        <f t="shared" si="21"/>
        <v>1276</v>
      </c>
      <c r="B1277" s="49"/>
      <c r="C1277" s="49"/>
      <c r="D1277" s="49"/>
      <c r="E1277" s="49"/>
    </row>
    <row r="1278" spans="1:5" ht="10.5" customHeight="1" x14ac:dyDescent="0.3">
      <c r="A1278" s="48">
        <f t="shared" si="21"/>
        <v>1277</v>
      </c>
      <c r="B1278" s="49"/>
      <c r="C1278" s="49"/>
      <c r="D1278" s="49"/>
      <c r="E1278" s="49"/>
    </row>
    <row r="1279" spans="1:5" ht="10.5" customHeight="1" x14ac:dyDescent="0.3">
      <c r="A1279" s="48">
        <f t="shared" si="21"/>
        <v>1278</v>
      </c>
      <c r="B1279" s="49"/>
      <c r="C1279" s="49"/>
      <c r="D1279" s="49"/>
      <c r="E1279" s="49"/>
    </row>
    <row r="1280" spans="1:5" ht="10.5" customHeight="1" x14ac:dyDescent="0.3">
      <c r="A1280" s="48">
        <f t="shared" si="21"/>
        <v>1279</v>
      </c>
      <c r="B1280" s="49"/>
      <c r="C1280" s="49"/>
      <c r="D1280" s="49"/>
      <c r="E1280" s="49"/>
    </row>
    <row r="1281" spans="1:5" ht="10.5" customHeight="1" x14ac:dyDescent="0.3">
      <c r="A1281" s="48">
        <f t="shared" si="21"/>
        <v>1280</v>
      </c>
      <c r="B1281" s="49"/>
      <c r="C1281" s="49"/>
      <c r="D1281" s="49"/>
      <c r="E1281" s="49"/>
    </row>
    <row r="1282" spans="1:5" ht="10.5" customHeight="1" x14ac:dyDescent="0.3">
      <c r="A1282" s="48">
        <f t="shared" si="21"/>
        <v>1281</v>
      </c>
      <c r="B1282" s="49"/>
      <c r="C1282" s="49"/>
      <c r="D1282" s="49"/>
      <c r="E1282" s="49"/>
    </row>
    <row r="1283" spans="1:5" ht="10.5" customHeight="1" x14ac:dyDescent="0.3">
      <c r="A1283" s="48">
        <f t="shared" ref="A1283:A1346" si="22">A1282+1</f>
        <v>1282</v>
      </c>
      <c r="B1283" s="49"/>
      <c r="C1283" s="49"/>
      <c r="D1283" s="49"/>
      <c r="E1283" s="49"/>
    </row>
    <row r="1284" spans="1:5" ht="10.5" customHeight="1" x14ac:dyDescent="0.3">
      <c r="A1284" s="48">
        <f t="shared" si="22"/>
        <v>1283</v>
      </c>
      <c r="B1284" s="49"/>
      <c r="C1284" s="49"/>
      <c r="D1284" s="49"/>
      <c r="E1284" s="49"/>
    </row>
    <row r="1285" spans="1:5" ht="10.5" customHeight="1" x14ac:dyDescent="0.3">
      <c r="A1285" s="48">
        <f t="shared" si="22"/>
        <v>1284</v>
      </c>
      <c r="B1285" s="49"/>
      <c r="C1285" s="49"/>
      <c r="D1285" s="49"/>
      <c r="E1285" s="49"/>
    </row>
    <row r="1286" spans="1:5" ht="10.5" customHeight="1" x14ac:dyDescent="0.3">
      <c r="A1286" s="48">
        <f t="shared" si="22"/>
        <v>1285</v>
      </c>
      <c r="B1286" s="49"/>
      <c r="C1286" s="49"/>
      <c r="D1286" s="49"/>
      <c r="E1286" s="49"/>
    </row>
    <row r="1287" spans="1:5" ht="10.5" customHeight="1" x14ac:dyDescent="0.3">
      <c r="A1287" s="48">
        <f t="shared" si="22"/>
        <v>1286</v>
      </c>
      <c r="B1287" s="49"/>
      <c r="C1287" s="49"/>
      <c r="D1287" s="49"/>
      <c r="E1287" s="49"/>
    </row>
    <row r="1288" spans="1:5" ht="10.5" customHeight="1" x14ac:dyDescent="0.3">
      <c r="A1288" s="48">
        <f t="shared" si="22"/>
        <v>1287</v>
      </c>
      <c r="B1288" s="49"/>
      <c r="C1288" s="49"/>
      <c r="D1288" s="49"/>
      <c r="E1288" s="49"/>
    </row>
    <row r="1289" spans="1:5" ht="10.5" customHeight="1" x14ac:dyDescent="0.3">
      <c r="A1289" s="48">
        <f t="shared" si="22"/>
        <v>1288</v>
      </c>
      <c r="B1289" s="49"/>
      <c r="C1289" s="49"/>
      <c r="D1289" s="49"/>
      <c r="E1289" s="49"/>
    </row>
    <row r="1290" spans="1:5" ht="10.5" customHeight="1" x14ac:dyDescent="0.3">
      <c r="A1290" s="48">
        <f t="shared" si="22"/>
        <v>1289</v>
      </c>
      <c r="B1290" s="49"/>
      <c r="C1290" s="49"/>
      <c r="D1290" s="49"/>
      <c r="E1290" s="49"/>
    </row>
    <row r="1291" spans="1:5" ht="10.5" customHeight="1" x14ac:dyDescent="0.3">
      <c r="A1291" s="48">
        <f t="shared" si="22"/>
        <v>1290</v>
      </c>
      <c r="B1291" s="49"/>
      <c r="C1291" s="49"/>
      <c r="D1291" s="49"/>
      <c r="E1291" s="49"/>
    </row>
    <row r="1292" spans="1:5" ht="10.5" customHeight="1" x14ac:dyDescent="0.3">
      <c r="A1292" s="48">
        <f t="shared" si="22"/>
        <v>1291</v>
      </c>
      <c r="B1292" s="52"/>
      <c r="C1292" s="52"/>
      <c r="D1292" s="52"/>
      <c r="E1292" s="52"/>
    </row>
    <row r="1293" spans="1:5" ht="10.5" customHeight="1" x14ac:dyDescent="0.3">
      <c r="A1293" s="48">
        <f t="shared" si="22"/>
        <v>1292</v>
      </c>
      <c r="B1293" s="52"/>
      <c r="C1293" s="52"/>
      <c r="D1293" s="52"/>
      <c r="E1293" s="52"/>
    </row>
    <row r="1294" spans="1:5" ht="10.5" customHeight="1" x14ac:dyDescent="0.3">
      <c r="A1294" s="48">
        <f t="shared" si="22"/>
        <v>1293</v>
      </c>
      <c r="B1294" s="52"/>
      <c r="D1294" s="52"/>
      <c r="E1294" s="52"/>
    </row>
    <row r="1295" spans="1:5" ht="10.5" customHeight="1" x14ac:dyDescent="0.3">
      <c r="A1295" s="48">
        <f t="shared" si="22"/>
        <v>1294</v>
      </c>
      <c r="B1295" s="52"/>
      <c r="D1295" s="52"/>
      <c r="E1295" s="52"/>
    </row>
    <row r="1296" spans="1:5" ht="10.5" customHeight="1" x14ac:dyDescent="0.3">
      <c r="A1296" s="48">
        <f t="shared" si="22"/>
        <v>1295</v>
      </c>
      <c r="B1296" s="52"/>
      <c r="D1296" s="52"/>
      <c r="E1296" s="52"/>
    </row>
    <row r="1297" spans="1:5" ht="10.5" customHeight="1" x14ac:dyDescent="0.3">
      <c r="A1297" s="48">
        <f t="shared" si="22"/>
        <v>1296</v>
      </c>
      <c r="B1297" s="52"/>
      <c r="C1297" s="52"/>
      <c r="D1297" s="52"/>
      <c r="E1297" s="52"/>
    </row>
    <row r="1298" spans="1:5" ht="10.5" customHeight="1" x14ac:dyDescent="0.3">
      <c r="A1298" s="48">
        <f t="shared" si="22"/>
        <v>1297</v>
      </c>
      <c r="B1298" s="52"/>
      <c r="C1298" s="52"/>
      <c r="D1298" s="52"/>
      <c r="E1298" s="52"/>
    </row>
    <row r="1299" spans="1:5" ht="10.5" customHeight="1" x14ac:dyDescent="0.3">
      <c r="A1299" s="48">
        <f t="shared" si="22"/>
        <v>1298</v>
      </c>
      <c r="B1299" s="52"/>
      <c r="C1299" s="52"/>
      <c r="D1299" s="52"/>
      <c r="E1299" s="52"/>
    </row>
    <row r="1300" spans="1:5" ht="10.5" customHeight="1" x14ac:dyDescent="0.3">
      <c r="A1300" s="48">
        <f t="shared" si="22"/>
        <v>1299</v>
      </c>
      <c r="B1300" s="52"/>
      <c r="C1300" s="52"/>
      <c r="D1300" s="52"/>
      <c r="E1300" s="52"/>
    </row>
    <row r="1301" spans="1:5" ht="10.5" customHeight="1" x14ac:dyDescent="0.3">
      <c r="A1301" s="48">
        <f t="shared" si="22"/>
        <v>1300</v>
      </c>
      <c r="B1301" s="52"/>
      <c r="C1301" s="52"/>
      <c r="D1301" s="52"/>
      <c r="E1301" s="52"/>
    </row>
    <row r="1302" spans="1:5" ht="10.5" customHeight="1" x14ac:dyDescent="0.3">
      <c r="A1302" s="48">
        <f t="shared" si="22"/>
        <v>1301</v>
      </c>
      <c r="B1302" s="52"/>
      <c r="C1302" s="52"/>
      <c r="D1302" s="52"/>
      <c r="E1302" s="52"/>
    </row>
    <row r="1303" spans="1:5" ht="10.5" customHeight="1" x14ac:dyDescent="0.3">
      <c r="A1303" s="48">
        <f t="shared" si="22"/>
        <v>1302</v>
      </c>
      <c r="B1303" s="52"/>
      <c r="C1303" s="52"/>
      <c r="D1303" s="52"/>
      <c r="E1303" s="52"/>
    </row>
    <row r="1304" spans="1:5" ht="10.5" customHeight="1" x14ac:dyDescent="0.3">
      <c r="A1304" s="48">
        <f t="shared" si="22"/>
        <v>1303</v>
      </c>
      <c r="B1304" s="52"/>
      <c r="C1304" s="52"/>
      <c r="D1304" s="52"/>
      <c r="E1304" s="52"/>
    </row>
    <row r="1305" spans="1:5" ht="10.5" customHeight="1" x14ac:dyDescent="0.3">
      <c r="A1305" s="48">
        <f t="shared" si="22"/>
        <v>1304</v>
      </c>
      <c r="B1305" s="52"/>
      <c r="C1305" s="52"/>
      <c r="D1305" s="52"/>
      <c r="E1305" s="52"/>
    </row>
    <row r="1306" spans="1:5" ht="10.5" customHeight="1" x14ac:dyDescent="0.3">
      <c r="A1306" s="48">
        <f t="shared" si="22"/>
        <v>1305</v>
      </c>
      <c r="B1306" s="52"/>
      <c r="C1306" s="52"/>
      <c r="D1306" s="52"/>
      <c r="E1306" s="52"/>
    </row>
    <row r="1307" spans="1:5" ht="10.5" customHeight="1" x14ac:dyDescent="0.3">
      <c r="A1307" s="48">
        <f t="shared" si="22"/>
        <v>1306</v>
      </c>
      <c r="B1307" s="52"/>
      <c r="C1307" s="52"/>
      <c r="D1307" s="52"/>
      <c r="E1307" s="52"/>
    </row>
    <row r="1308" spans="1:5" ht="10.5" customHeight="1" x14ac:dyDescent="0.3">
      <c r="A1308" s="48">
        <f t="shared" si="22"/>
        <v>1307</v>
      </c>
      <c r="B1308" s="52"/>
      <c r="C1308" s="52"/>
      <c r="D1308" s="52"/>
      <c r="E1308" s="52"/>
    </row>
    <row r="1309" spans="1:5" ht="10.5" customHeight="1" x14ac:dyDescent="0.3">
      <c r="A1309" s="48">
        <f t="shared" si="22"/>
        <v>1308</v>
      </c>
      <c r="B1309" s="52"/>
      <c r="C1309" s="52"/>
      <c r="D1309" s="52"/>
      <c r="E1309" s="52"/>
    </row>
    <row r="1310" spans="1:5" ht="10.5" customHeight="1" x14ac:dyDescent="0.3">
      <c r="A1310" s="48">
        <f t="shared" si="22"/>
        <v>1309</v>
      </c>
      <c r="B1310" s="52"/>
      <c r="C1310" s="52"/>
      <c r="D1310" s="52"/>
      <c r="E1310" s="52"/>
    </row>
    <row r="1311" spans="1:5" ht="10.5" customHeight="1" x14ac:dyDescent="0.3">
      <c r="A1311" s="48">
        <f t="shared" si="22"/>
        <v>1310</v>
      </c>
      <c r="B1311" s="52"/>
      <c r="C1311" s="52"/>
      <c r="D1311" s="52"/>
      <c r="E1311" s="52"/>
    </row>
    <row r="1312" spans="1:5" ht="10.5" customHeight="1" x14ac:dyDescent="0.3">
      <c r="A1312" s="48">
        <f t="shared" si="22"/>
        <v>1311</v>
      </c>
      <c r="B1312" s="52"/>
      <c r="C1312" s="52"/>
      <c r="D1312" s="52"/>
      <c r="E1312" s="52"/>
    </row>
    <row r="1313" spans="1:5" ht="10.5" customHeight="1" x14ac:dyDescent="0.3">
      <c r="A1313" s="48">
        <f t="shared" si="22"/>
        <v>1312</v>
      </c>
      <c r="B1313" s="52"/>
      <c r="C1313" s="52"/>
      <c r="D1313" s="52"/>
      <c r="E1313" s="52"/>
    </row>
    <row r="1314" spans="1:5" ht="10.5" customHeight="1" x14ac:dyDescent="0.3">
      <c r="A1314" s="48">
        <f t="shared" si="22"/>
        <v>1313</v>
      </c>
      <c r="B1314" s="52"/>
      <c r="D1314" s="52"/>
      <c r="E1314" s="52"/>
    </row>
    <row r="1315" spans="1:5" ht="10.5" customHeight="1" x14ac:dyDescent="0.3">
      <c r="A1315" s="48">
        <f t="shared" si="22"/>
        <v>1314</v>
      </c>
      <c r="B1315" s="49"/>
      <c r="C1315" s="49"/>
      <c r="D1315" s="49"/>
      <c r="E1315" s="49"/>
    </row>
    <row r="1316" spans="1:5" ht="10.5" customHeight="1" x14ac:dyDescent="0.3">
      <c r="A1316" s="48">
        <f t="shared" si="22"/>
        <v>1315</v>
      </c>
      <c r="B1316" s="49"/>
      <c r="C1316" s="49"/>
      <c r="D1316" s="49"/>
      <c r="E1316" s="49"/>
    </row>
    <row r="1317" spans="1:5" ht="10.5" customHeight="1" x14ac:dyDescent="0.3">
      <c r="A1317" s="48">
        <f t="shared" si="22"/>
        <v>1316</v>
      </c>
      <c r="B1317" s="49"/>
      <c r="C1317" s="49"/>
      <c r="D1317" s="49"/>
      <c r="E1317" s="49"/>
    </row>
    <row r="1318" spans="1:5" ht="10.5" customHeight="1" x14ac:dyDescent="0.3">
      <c r="A1318" s="48">
        <f>A1317+1</f>
        <v>1317</v>
      </c>
      <c r="B1318" s="49"/>
      <c r="C1318" s="49"/>
      <c r="D1318" s="49"/>
      <c r="E1318" s="49"/>
    </row>
    <row r="1319" spans="1:5" ht="10.5" customHeight="1" x14ac:dyDescent="0.3">
      <c r="A1319" s="48">
        <f t="shared" si="22"/>
        <v>1318</v>
      </c>
      <c r="B1319" s="49"/>
      <c r="C1319" s="49"/>
      <c r="D1319" s="49"/>
      <c r="E1319" s="49"/>
    </row>
    <row r="1320" spans="1:5" ht="10.5" customHeight="1" x14ac:dyDescent="0.3">
      <c r="A1320" s="48">
        <f t="shared" si="22"/>
        <v>1319</v>
      </c>
      <c r="B1320" s="49"/>
      <c r="C1320" s="49"/>
      <c r="D1320" s="49"/>
      <c r="E1320" s="49"/>
    </row>
    <row r="1321" spans="1:5" ht="10.5" customHeight="1" x14ac:dyDescent="0.3">
      <c r="A1321" s="48">
        <f t="shared" si="22"/>
        <v>1320</v>
      </c>
      <c r="B1321" s="49"/>
      <c r="C1321" s="49"/>
      <c r="D1321" s="49"/>
      <c r="E1321" s="49"/>
    </row>
    <row r="1322" spans="1:5" ht="10.5" customHeight="1" x14ac:dyDescent="0.3">
      <c r="A1322" s="48">
        <f t="shared" si="22"/>
        <v>1321</v>
      </c>
      <c r="B1322" s="49"/>
      <c r="C1322" s="49"/>
      <c r="D1322" s="49"/>
      <c r="E1322" s="49"/>
    </row>
    <row r="1323" spans="1:5" ht="10.5" customHeight="1" x14ac:dyDescent="0.3">
      <c r="A1323" s="48">
        <f t="shared" si="22"/>
        <v>1322</v>
      </c>
      <c r="B1323" s="49"/>
      <c r="C1323" s="49"/>
      <c r="D1323" s="49"/>
      <c r="E1323" s="49"/>
    </row>
    <row r="1324" spans="1:5" ht="10.5" customHeight="1" x14ac:dyDescent="0.3">
      <c r="A1324" s="48">
        <f t="shared" si="22"/>
        <v>1323</v>
      </c>
      <c r="B1324" s="49"/>
      <c r="C1324" s="49"/>
      <c r="D1324" s="49"/>
      <c r="E1324" s="49"/>
    </row>
    <row r="1325" spans="1:5" ht="10.5" customHeight="1" x14ac:dyDescent="0.3">
      <c r="A1325" s="48">
        <f t="shared" si="22"/>
        <v>1324</v>
      </c>
      <c r="B1325" s="49"/>
      <c r="C1325" s="49"/>
      <c r="D1325" s="49"/>
      <c r="E1325" s="49"/>
    </row>
    <row r="1326" spans="1:5" ht="10.5" customHeight="1" x14ac:dyDescent="0.3">
      <c r="A1326" s="48">
        <f t="shared" si="22"/>
        <v>1325</v>
      </c>
      <c r="B1326" s="49"/>
      <c r="C1326" s="49"/>
      <c r="D1326" s="49"/>
      <c r="E1326" s="49"/>
    </row>
    <row r="1327" spans="1:5" ht="10.5" customHeight="1" x14ac:dyDescent="0.3">
      <c r="A1327" s="48">
        <f t="shared" si="22"/>
        <v>1326</v>
      </c>
      <c r="B1327" s="49"/>
      <c r="C1327" s="49"/>
      <c r="D1327" s="49"/>
      <c r="E1327" s="49"/>
    </row>
    <row r="1328" spans="1:5" ht="10.5" customHeight="1" x14ac:dyDescent="0.3">
      <c r="A1328" s="48">
        <f t="shared" si="22"/>
        <v>1327</v>
      </c>
      <c r="B1328" s="49"/>
      <c r="C1328" s="49"/>
      <c r="D1328" s="49"/>
      <c r="E1328" s="49"/>
    </row>
    <row r="1329" spans="1:5" ht="10.5" customHeight="1" x14ac:dyDescent="0.3">
      <c r="A1329" s="48">
        <f t="shared" si="22"/>
        <v>1328</v>
      </c>
      <c r="B1329" s="49"/>
      <c r="C1329" s="49"/>
      <c r="D1329" s="49"/>
      <c r="E1329" s="49"/>
    </row>
    <row r="1330" spans="1:5" ht="10.5" customHeight="1" x14ac:dyDescent="0.3">
      <c r="A1330" s="48">
        <f t="shared" si="22"/>
        <v>1329</v>
      </c>
      <c r="B1330" s="49"/>
      <c r="C1330" s="49"/>
      <c r="D1330" s="49"/>
      <c r="E1330" s="49"/>
    </row>
    <row r="1331" spans="1:5" ht="10.5" customHeight="1" x14ac:dyDescent="0.3">
      <c r="A1331" s="48">
        <f t="shared" si="22"/>
        <v>1330</v>
      </c>
      <c r="B1331" s="49"/>
      <c r="C1331" s="49"/>
      <c r="D1331" s="49"/>
      <c r="E1331" s="49"/>
    </row>
    <row r="1332" spans="1:5" ht="10.5" customHeight="1" x14ac:dyDescent="0.3">
      <c r="A1332" s="48">
        <f t="shared" si="22"/>
        <v>1331</v>
      </c>
      <c r="B1332" s="49"/>
      <c r="C1332" s="49"/>
      <c r="D1332" s="49"/>
      <c r="E1332" s="49"/>
    </row>
    <row r="1333" spans="1:5" ht="10.5" customHeight="1" x14ac:dyDescent="0.3">
      <c r="A1333" s="48">
        <f t="shared" si="22"/>
        <v>1332</v>
      </c>
      <c r="B1333" s="49"/>
      <c r="C1333" s="49"/>
      <c r="D1333" s="49"/>
      <c r="E1333" s="49"/>
    </row>
    <row r="1334" spans="1:5" ht="10.5" customHeight="1" x14ac:dyDescent="0.3">
      <c r="A1334" s="48">
        <f t="shared" si="22"/>
        <v>1333</v>
      </c>
      <c r="B1334" s="49"/>
      <c r="C1334" s="49"/>
      <c r="D1334" s="49"/>
      <c r="E1334" s="49"/>
    </row>
    <row r="1335" spans="1:5" ht="10.5" customHeight="1" x14ac:dyDescent="0.3">
      <c r="A1335" s="48">
        <f t="shared" si="22"/>
        <v>1334</v>
      </c>
      <c r="B1335" s="49"/>
      <c r="C1335" s="49"/>
      <c r="D1335" s="49"/>
      <c r="E1335" s="49"/>
    </row>
    <row r="1336" spans="1:5" ht="10.5" customHeight="1" x14ac:dyDescent="0.3">
      <c r="A1336" s="48">
        <f t="shared" si="22"/>
        <v>1335</v>
      </c>
      <c r="B1336" s="49"/>
      <c r="C1336" s="49"/>
      <c r="D1336" s="49"/>
      <c r="E1336" s="49"/>
    </row>
    <row r="1337" spans="1:5" ht="10.5" customHeight="1" x14ac:dyDescent="0.3">
      <c r="A1337" s="48">
        <f t="shared" si="22"/>
        <v>1336</v>
      </c>
      <c r="B1337" s="49"/>
      <c r="C1337" s="49"/>
      <c r="D1337" s="49"/>
      <c r="E1337" s="49"/>
    </row>
    <row r="1338" spans="1:5" ht="10.5" customHeight="1" x14ac:dyDescent="0.3">
      <c r="A1338" s="48">
        <f t="shared" si="22"/>
        <v>1337</v>
      </c>
      <c r="B1338" s="49"/>
      <c r="C1338" s="49"/>
      <c r="D1338" s="49"/>
      <c r="E1338" s="49"/>
    </row>
    <row r="1339" spans="1:5" ht="10.5" customHeight="1" x14ac:dyDescent="0.3">
      <c r="A1339" s="48">
        <f t="shared" si="22"/>
        <v>1338</v>
      </c>
      <c r="B1339" s="49"/>
      <c r="C1339" s="49"/>
      <c r="D1339" s="49"/>
      <c r="E1339" s="49"/>
    </row>
    <row r="1340" spans="1:5" ht="10.5" customHeight="1" x14ac:dyDescent="0.3">
      <c r="A1340" s="48">
        <f t="shared" si="22"/>
        <v>1339</v>
      </c>
      <c r="B1340" s="49"/>
      <c r="C1340" s="49"/>
      <c r="D1340" s="49"/>
      <c r="E1340" s="49"/>
    </row>
    <row r="1341" spans="1:5" ht="10.5" customHeight="1" x14ac:dyDescent="0.3">
      <c r="A1341" s="48">
        <f t="shared" si="22"/>
        <v>1340</v>
      </c>
      <c r="B1341" s="49"/>
      <c r="C1341" s="49"/>
      <c r="D1341" s="49"/>
      <c r="E1341" s="49"/>
    </row>
    <row r="1342" spans="1:5" ht="10.5" customHeight="1" x14ac:dyDescent="0.3">
      <c r="A1342" s="48">
        <f t="shared" si="22"/>
        <v>1341</v>
      </c>
      <c r="B1342" s="49"/>
      <c r="C1342" s="49"/>
      <c r="D1342" s="49"/>
      <c r="E1342" s="49"/>
    </row>
    <row r="1343" spans="1:5" ht="10.5" customHeight="1" x14ac:dyDescent="0.3">
      <c r="A1343" s="48">
        <f t="shared" si="22"/>
        <v>1342</v>
      </c>
      <c r="B1343" s="49"/>
      <c r="C1343" s="49"/>
      <c r="D1343" s="49"/>
      <c r="E1343" s="49"/>
    </row>
    <row r="1344" spans="1:5" ht="10.5" customHeight="1" x14ac:dyDescent="0.3">
      <c r="A1344" s="48">
        <f t="shared" si="22"/>
        <v>1343</v>
      </c>
      <c r="B1344" s="49"/>
      <c r="C1344" s="49"/>
      <c r="D1344" s="49"/>
      <c r="E1344" s="49"/>
    </row>
    <row r="1345" spans="1:5" ht="10.5" customHeight="1" x14ac:dyDescent="0.3">
      <c r="A1345" s="48">
        <f t="shared" si="22"/>
        <v>1344</v>
      </c>
      <c r="B1345" s="49"/>
      <c r="C1345" s="49"/>
      <c r="D1345" s="49"/>
      <c r="E1345" s="49"/>
    </row>
    <row r="1346" spans="1:5" ht="10.5" customHeight="1" x14ac:dyDescent="0.3">
      <c r="A1346" s="48">
        <f t="shared" si="22"/>
        <v>1345</v>
      </c>
      <c r="B1346" s="49"/>
      <c r="C1346" s="49"/>
      <c r="D1346" s="49"/>
      <c r="E1346" s="49"/>
    </row>
    <row r="1347" spans="1:5" ht="10.5" customHeight="1" x14ac:dyDescent="0.3">
      <c r="A1347" s="48">
        <f t="shared" ref="A1347:A1410" si="23">A1346+1</f>
        <v>1346</v>
      </c>
      <c r="B1347" s="49"/>
      <c r="C1347" s="49"/>
      <c r="D1347" s="49"/>
      <c r="E1347" s="49"/>
    </row>
    <row r="1348" spans="1:5" ht="10.5" customHeight="1" x14ac:dyDescent="0.3">
      <c r="A1348" s="48">
        <f t="shared" si="23"/>
        <v>1347</v>
      </c>
      <c r="B1348" s="49"/>
      <c r="C1348" s="49"/>
      <c r="D1348" s="49"/>
      <c r="E1348" s="49"/>
    </row>
    <row r="1349" spans="1:5" ht="10.5" customHeight="1" x14ac:dyDescent="0.3">
      <c r="A1349" s="48">
        <f t="shared" si="23"/>
        <v>1348</v>
      </c>
      <c r="B1349" s="49"/>
      <c r="C1349" s="49"/>
      <c r="D1349" s="49"/>
      <c r="E1349" s="49"/>
    </row>
    <row r="1350" spans="1:5" ht="10.5" customHeight="1" x14ac:dyDescent="0.3">
      <c r="A1350" s="48">
        <f t="shared" si="23"/>
        <v>1349</v>
      </c>
      <c r="B1350" s="49"/>
      <c r="D1350" s="49"/>
      <c r="E1350" s="49"/>
    </row>
    <row r="1351" spans="1:5" ht="10.5" customHeight="1" x14ac:dyDescent="0.3">
      <c r="A1351" s="48">
        <f t="shared" si="23"/>
        <v>1350</v>
      </c>
      <c r="B1351" s="49"/>
      <c r="D1351" s="49"/>
      <c r="E1351" s="49"/>
    </row>
    <row r="1352" spans="1:5" ht="10.5" customHeight="1" x14ac:dyDescent="0.3">
      <c r="A1352" s="48">
        <f t="shared" si="23"/>
        <v>1351</v>
      </c>
      <c r="B1352" s="49"/>
      <c r="C1352" s="49"/>
      <c r="D1352" s="49"/>
      <c r="E1352" s="49"/>
    </row>
    <row r="1353" spans="1:5" ht="10.5" customHeight="1" x14ac:dyDescent="0.3">
      <c r="A1353" s="48">
        <f t="shared" si="23"/>
        <v>1352</v>
      </c>
      <c r="B1353" s="49"/>
      <c r="C1353" s="49"/>
      <c r="D1353" s="49"/>
      <c r="E1353" s="49"/>
    </row>
    <row r="1354" spans="1:5" ht="10.5" customHeight="1" x14ac:dyDescent="0.3">
      <c r="A1354" s="48">
        <f t="shared" si="23"/>
        <v>1353</v>
      </c>
      <c r="B1354" s="49"/>
      <c r="C1354" s="49"/>
      <c r="D1354" s="49"/>
      <c r="E1354" s="49"/>
    </row>
    <row r="1355" spans="1:5" ht="10.5" customHeight="1" x14ac:dyDescent="0.3">
      <c r="A1355" s="48">
        <f t="shared" si="23"/>
        <v>1354</v>
      </c>
      <c r="B1355" s="49"/>
      <c r="C1355" s="49"/>
      <c r="D1355" s="49"/>
      <c r="E1355" s="49"/>
    </row>
    <row r="1356" spans="1:5" ht="10.5" customHeight="1" x14ac:dyDescent="0.3">
      <c r="A1356" s="48">
        <f t="shared" si="23"/>
        <v>1355</v>
      </c>
      <c r="B1356" s="49"/>
      <c r="C1356" s="49"/>
      <c r="D1356" s="49"/>
      <c r="E1356" s="49"/>
    </row>
    <row r="1357" spans="1:5" ht="10.5" customHeight="1" x14ac:dyDescent="0.3">
      <c r="A1357" s="48">
        <f t="shared" si="23"/>
        <v>1356</v>
      </c>
      <c r="B1357" s="49"/>
      <c r="C1357" s="49"/>
      <c r="D1357" s="49"/>
      <c r="E1357" s="49"/>
    </row>
    <row r="1358" spans="1:5" ht="10.5" customHeight="1" x14ac:dyDescent="0.3">
      <c r="A1358" s="48">
        <f t="shared" si="23"/>
        <v>1357</v>
      </c>
      <c r="B1358" s="49"/>
      <c r="C1358" s="49"/>
      <c r="D1358" s="49"/>
      <c r="E1358" s="49"/>
    </row>
    <row r="1359" spans="1:5" ht="10.5" customHeight="1" x14ac:dyDescent="0.3">
      <c r="A1359" s="48">
        <f t="shared" si="23"/>
        <v>1358</v>
      </c>
      <c r="B1359" s="49"/>
      <c r="C1359" s="49"/>
      <c r="D1359" s="49"/>
      <c r="E1359" s="49"/>
    </row>
    <row r="1360" spans="1:5" ht="10.5" customHeight="1" x14ac:dyDescent="0.3">
      <c r="A1360" s="48">
        <f t="shared" si="23"/>
        <v>1359</v>
      </c>
      <c r="B1360" s="49"/>
      <c r="C1360" s="49"/>
      <c r="D1360" s="49"/>
      <c r="E1360" s="49"/>
    </row>
    <row r="1361" spans="1:5" ht="10.5" customHeight="1" x14ac:dyDescent="0.3">
      <c r="A1361" s="48">
        <f t="shared" si="23"/>
        <v>1360</v>
      </c>
      <c r="B1361" s="49"/>
      <c r="C1361" s="49"/>
      <c r="D1361" s="49"/>
      <c r="E1361" s="49"/>
    </row>
    <row r="1362" spans="1:5" ht="10.5" customHeight="1" x14ac:dyDescent="0.3">
      <c r="A1362" s="48">
        <f t="shared" si="23"/>
        <v>1361</v>
      </c>
      <c r="B1362" s="49"/>
      <c r="C1362" s="49"/>
      <c r="D1362" s="49"/>
      <c r="E1362" s="49"/>
    </row>
    <row r="1363" spans="1:5" ht="10.5" customHeight="1" x14ac:dyDescent="0.3">
      <c r="A1363" s="48">
        <f t="shared" si="23"/>
        <v>1362</v>
      </c>
      <c r="B1363" s="49"/>
      <c r="C1363" s="49"/>
      <c r="D1363" s="49"/>
      <c r="E1363" s="49"/>
    </row>
    <row r="1364" spans="1:5" ht="10.5" customHeight="1" x14ac:dyDescent="0.3">
      <c r="A1364" s="48">
        <f t="shared" si="23"/>
        <v>1363</v>
      </c>
      <c r="B1364" s="49"/>
      <c r="C1364" s="49"/>
      <c r="D1364" s="49"/>
      <c r="E1364" s="49"/>
    </row>
    <row r="1365" spans="1:5" ht="10.5" customHeight="1" x14ac:dyDescent="0.3">
      <c r="A1365" s="48">
        <f t="shared" si="23"/>
        <v>1364</v>
      </c>
      <c r="B1365" s="49"/>
      <c r="C1365" s="49"/>
      <c r="D1365" s="49"/>
      <c r="E1365" s="49"/>
    </row>
    <row r="1366" spans="1:5" ht="10.5" customHeight="1" x14ac:dyDescent="0.3">
      <c r="A1366" s="48">
        <f t="shared" si="23"/>
        <v>1365</v>
      </c>
      <c r="B1366" s="49"/>
      <c r="C1366" s="49"/>
      <c r="D1366" s="49"/>
      <c r="E1366" s="49"/>
    </row>
    <row r="1367" spans="1:5" ht="10.5" customHeight="1" x14ac:dyDescent="0.3">
      <c r="A1367" s="48">
        <f t="shared" si="23"/>
        <v>1366</v>
      </c>
      <c r="B1367" s="49"/>
      <c r="C1367" s="49"/>
      <c r="D1367" s="49"/>
      <c r="E1367" s="49"/>
    </row>
    <row r="1368" spans="1:5" ht="10.5" customHeight="1" x14ac:dyDescent="0.3">
      <c r="A1368" s="48">
        <f t="shared" si="23"/>
        <v>1367</v>
      </c>
      <c r="B1368" s="49"/>
      <c r="C1368" s="49"/>
      <c r="D1368" s="49"/>
      <c r="E1368" s="49"/>
    </row>
    <row r="1369" spans="1:5" ht="10.5" customHeight="1" x14ac:dyDescent="0.3">
      <c r="A1369" s="48">
        <f t="shared" si="23"/>
        <v>1368</v>
      </c>
      <c r="B1369" s="49"/>
      <c r="C1369" s="49"/>
      <c r="D1369" s="49"/>
      <c r="E1369" s="49"/>
    </row>
    <row r="1370" spans="1:5" ht="10.5" customHeight="1" x14ac:dyDescent="0.3">
      <c r="A1370" s="48">
        <f t="shared" si="23"/>
        <v>1369</v>
      </c>
      <c r="B1370" s="49"/>
      <c r="C1370" s="49"/>
      <c r="D1370" s="49"/>
      <c r="E1370" s="49"/>
    </row>
    <row r="1371" spans="1:5" ht="10.5" customHeight="1" x14ac:dyDescent="0.3">
      <c r="A1371" s="48">
        <f t="shared" si="23"/>
        <v>1370</v>
      </c>
      <c r="B1371" s="49"/>
      <c r="C1371" s="49"/>
      <c r="D1371" s="49"/>
      <c r="E1371" s="49"/>
    </row>
    <row r="1372" spans="1:5" ht="10.5" customHeight="1" x14ac:dyDescent="0.3">
      <c r="A1372" s="48">
        <f t="shared" si="23"/>
        <v>1371</v>
      </c>
      <c r="C1372" s="49"/>
      <c r="D1372" s="49"/>
      <c r="E1372" s="49"/>
    </row>
    <row r="1373" spans="1:5" ht="10.5" customHeight="1" x14ac:dyDescent="0.3">
      <c r="A1373" s="48">
        <f t="shared" si="23"/>
        <v>1372</v>
      </c>
      <c r="C1373" s="49"/>
      <c r="D1373" s="49"/>
      <c r="E1373" s="49"/>
    </row>
    <row r="1374" spans="1:5" ht="10.5" customHeight="1" x14ac:dyDescent="0.3">
      <c r="A1374" s="48">
        <f t="shared" si="23"/>
        <v>1373</v>
      </c>
      <c r="C1374" s="49"/>
      <c r="D1374" s="49"/>
      <c r="E1374" s="49"/>
    </row>
    <row r="1375" spans="1:5" ht="10.5" customHeight="1" x14ac:dyDescent="0.3">
      <c r="A1375" s="48">
        <f t="shared" si="23"/>
        <v>1374</v>
      </c>
      <c r="B1375" s="49"/>
      <c r="C1375" s="49"/>
      <c r="D1375" s="49"/>
      <c r="E1375" s="49"/>
    </row>
    <row r="1376" spans="1:5" ht="10.5" customHeight="1" x14ac:dyDescent="0.3">
      <c r="A1376" s="48">
        <f t="shared" si="23"/>
        <v>1375</v>
      </c>
      <c r="B1376" s="49"/>
      <c r="C1376" s="49"/>
      <c r="D1376" s="49"/>
      <c r="E1376" s="49"/>
    </row>
    <row r="1377" spans="1:5" ht="10.5" customHeight="1" x14ac:dyDescent="0.3">
      <c r="A1377" s="48">
        <f t="shared" si="23"/>
        <v>1376</v>
      </c>
      <c r="B1377" s="49"/>
      <c r="C1377" s="49"/>
      <c r="D1377" s="49"/>
      <c r="E1377" s="49"/>
    </row>
    <row r="1378" spans="1:5" ht="10.5" customHeight="1" x14ac:dyDescent="0.3">
      <c r="A1378" s="48">
        <f t="shared" si="23"/>
        <v>1377</v>
      </c>
      <c r="B1378" s="49"/>
      <c r="C1378" s="49"/>
      <c r="D1378" s="49"/>
      <c r="E1378" s="49"/>
    </row>
    <row r="1379" spans="1:5" ht="10.5" customHeight="1" x14ac:dyDescent="0.3">
      <c r="A1379" s="48">
        <f t="shared" si="23"/>
        <v>1378</v>
      </c>
      <c r="B1379" s="49"/>
      <c r="C1379" s="49"/>
      <c r="D1379" s="49"/>
      <c r="E1379" s="49"/>
    </row>
    <row r="1380" spans="1:5" ht="10.5" customHeight="1" x14ac:dyDescent="0.3">
      <c r="A1380" s="48">
        <f t="shared" si="23"/>
        <v>1379</v>
      </c>
      <c r="B1380" s="49"/>
      <c r="C1380" s="49"/>
      <c r="D1380" s="49"/>
      <c r="E1380" s="49"/>
    </row>
    <row r="1381" spans="1:5" ht="10.5" customHeight="1" x14ac:dyDescent="0.3">
      <c r="A1381" s="48">
        <f t="shared" si="23"/>
        <v>1380</v>
      </c>
      <c r="B1381" s="49"/>
      <c r="C1381" s="49"/>
      <c r="D1381" s="49"/>
      <c r="E1381" s="49"/>
    </row>
    <row r="1382" spans="1:5" ht="10.5" customHeight="1" x14ac:dyDescent="0.3">
      <c r="A1382" s="48">
        <f t="shared" si="23"/>
        <v>1381</v>
      </c>
      <c r="B1382" s="49"/>
      <c r="C1382" s="49"/>
      <c r="D1382" s="49"/>
      <c r="E1382" s="49"/>
    </row>
    <row r="1383" spans="1:5" ht="10.5" customHeight="1" x14ac:dyDescent="0.3">
      <c r="A1383" s="48">
        <f t="shared" si="23"/>
        <v>1382</v>
      </c>
      <c r="B1383" s="49"/>
      <c r="C1383" s="49"/>
      <c r="D1383" s="49"/>
      <c r="E1383" s="49"/>
    </row>
    <row r="1384" spans="1:5" ht="10.5" customHeight="1" x14ac:dyDescent="0.3">
      <c r="A1384" s="48">
        <f t="shared" si="23"/>
        <v>1383</v>
      </c>
      <c r="B1384" s="49"/>
      <c r="C1384" s="49"/>
      <c r="D1384" s="49"/>
      <c r="E1384" s="49"/>
    </row>
    <row r="1385" spans="1:5" ht="10.5" customHeight="1" x14ac:dyDescent="0.3">
      <c r="A1385" s="48">
        <f t="shared" si="23"/>
        <v>1384</v>
      </c>
      <c r="B1385" s="49"/>
      <c r="C1385" s="49"/>
      <c r="D1385" s="49"/>
      <c r="E1385" s="49"/>
    </row>
    <row r="1386" spans="1:5" ht="10.5" customHeight="1" x14ac:dyDescent="0.3">
      <c r="A1386" s="48">
        <f t="shared" si="23"/>
        <v>1385</v>
      </c>
      <c r="B1386" s="49"/>
      <c r="C1386" s="49"/>
      <c r="D1386" s="49"/>
      <c r="E1386" s="49"/>
    </row>
    <row r="1387" spans="1:5" ht="10.5" customHeight="1" x14ac:dyDescent="0.3">
      <c r="A1387" s="48">
        <f t="shared" si="23"/>
        <v>1386</v>
      </c>
      <c r="B1387" s="49"/>
      <c r="C1387" s="49"/>
      <c r="D1387" s="49"/>
      <c r="E1387" s="49"/>
    </row>
    <row r="1388" spans="1:5" ht="10.5" customHeight="1" x14ac:dyDescent="0.3">
      <c r="A1388" s="48">
        <f t="shared" si="23"/>
        <v>1387</v>
      </c>
      <c r="B1388" s="49"/>
      <c r="C1388" s="49"/>
      <c r="D1388" s="49"/>
      <c r="E1388" s="49"/>
    </row>
    <row r="1389" spans="1:5" ht="10.5" customHeight="1" x14ac:dyDescent="0.3">
      <c r="A1389" s="48">
        <f t="shared" si="23"/>
        <v>1388</v>
      </c>
      <c r="B1389" s="49"/>
      <c r="C1389" s="49"/>
      <c r="D1389" s="49"/>
      <c r="E1389" s="49"/>
    </row>
    <row r="1390" spans="1:5" ht="10.5" customHeight="1" x14ac:dyDescent="0.3">
      <c r="A1390" s="48">
        <f t="shared" si="23"/>
        <v>1389</v>
      </c>
      <c r="B1390" s="49"/>
      <c r="C1390" s="49"/>
      <c r="D1390" s="49"/>
      <c r="E1390" s="49"/>
    </row>
    <row r="1391" spans="1:5" ht="10.5" customHeight="1" x14ac:dyDescent="0.3">
      <c r="A1391" s="48">
        <f t="shared" si="23"/>
        <v>1390</v>
      </c>
      <c r="B1391" s="49"/>
      <c r="C1391" s="49"/>
      <c r="D1391" s="49"/>
      <c r="E1391" s="49"/>
    </row>
    <row r="1392" spans="1:5" ht="10.5" customHeight="1" x14ac:dyDescent="0.3">
      <c r="A1392" s="48">
        <f t="shared" si="23"/>
        <v>1391</v>
      </c>
      <c r="B1392" s="49"/>
      <c r="C1392" s="49"/>
      <c r="D1392" s="49"/>
      <c r="E1392" s="49"/>
    </row>
    <row r="1393" spans="1:5" ht="10.5" customHeight="1" x14ac:dyDescent="0.3">
      <c r="A1393" s="48">
        <f t="shared" si="23"/>
        <v>1392</v>
      </c>
      <c r="B1393" s="49"/>
      <c r="C1393" s="49"/>
      <c r="D1393" s="49"/>
      <c r="E1393" s="49"/>
    </row>
    <row r="1394" spans="1:5" ht="10.5" customHeight="1" x14ac:dyDescent="0.3">
      <c r="A1394" s="48">
        <f t="shared" si="23"/>
        <v>1393</v>
      </c>
      <c r="B1394" s="49"/>
      <c r="C1394" s="49"/>
      <c r="D1394" s="49"/>
      <c r="E1394" s="49"/>
    </row>
    <row r="1395" spans="1:5" ht="10.5" customHeight="1" x14ac:dyDescent="0.3">
      <c r="A1395" s="48">
        <f t="shared" si="23"/>
        <v>1394</v>
      </c>
      <c r="B1395" s="49"/>
      <c r="C1395" s="49"/>
      <c r="D1395" s="49"/>
      <c r="E1395" s="49"/>
    </row>
    <row r="1396" spans="1:5" ht="10.5" customHeight="1" x14ac:dyDescent="0.3">
      <c r="A1396" s="48">
        <f t="shared" si="23"/>
        <v>1395</v>
      </c>
      <c r="B1396" s="49"/>
      <c r="C1396" s="49"/>
      <c r="D1396" s="49"/>
      <c r="E1396" s="49"/>
    </row>
    <row r="1397" spans="1:5" ht="10.5" customHeight="1" x14ac:dyDescent="0.3">
      <c r="A1397" s="48">
        <f t="shared" si="23"/>
        <v>1396</v>
      </c>
      <c r="B1397" s="49"/>
      <c r="C1397" s="49"/>
      <c r="D1397" s="49"/>
      <c r="E1397" s="49"/>
    </row>
    <row r="1398" spans="1:5" ht="10.5" customHeight="1" x14ac:dyDescent="0.3">
      <c r="A1398" s="48">
        <f t="shared" si="23"/>
        <v>1397</v>
      </c>
      <c r="B1398" s="49"/>
      <c r="C1398" s="49"/>
      <c r="D1398" s="49"/>
      <c r="E1398" s="49"/>
    </row>
    <row r="1399" spans="1:5" ht="10.5" customHeight="1" x14ac:dyDescent="0.3">
      <c r="A1399" s="48">
        <f t="shared" si="23"/>
        <v>1398</v>
      </c>
      <c r="B1399" s="49"/>
      <c r="C1399" s="49"/>
      <c r="D1399" s="49"/>
      <c r="E1399" s="49"/>
    </row>
    <row r="1400" spans="1:5" ht="10.5" customHeight="1" x14ac:dyDescent="0.3">
      <c r="A1400" s="48">
        <f t="shared" si="23"/>
        <v>1399</v>
      </c>
      <c r="B1400" s="49"/>
      <c r="C1400" s="49"/>
      <c r="D1400" s="49"/>
      <c r="E1400" s="49"/>
    </row>
    <row r="1401" spans="1:5" ht="10.5" customHeight="1" x14ac:dyDescent="0.3">
      <c r="A1401" s="48">
        <f t="shared" si="23"/>
        <v>1400</v>
      </c>
      <c r="B1401" s="49"/>
      <c r="C1401" s="49"/>
      <c r="D1401" s="49"/>
      <c r="E1401" s="49"/>
    </row>
    <row r="1402" spans="1:5" ht="10.5" customHeight="1" x14ac:dyDescent="0.3">
      <c r="A1402" s="48">
        <f t="shared" si="23"/>
        <v>1401</v>
      </c>
      <c r="B1402" s="49"/>
      <c r="C1402" s="49"/>
      <c r="D1402" s="49"/>
      <c r="E1402" s="49"/>
    </row>
    <row r="1403" spans="1:5" ht="10.5" customHeight="1" x14ac:dyDescent="0.3">
      <c r="A1403" s="48">
        <f t="shared" si="23"/>
        <v>1402</v>
      </c>
      <c r="B1403" s="49"/>
      <c r="C1403" s="49"/>
      <c r="D1403" s="49"/>
      <c r="E1403" s="49"/>
    </row>
    <row r="1404" spans="1:5" ht="10.5" customHeight="1" x14ac:dyDescent="0.3">
      <c r="A1404" s="48">
        <f t="shared" si="23"/>
        <v>1403</v>
      </c>
      <c r="B1404" s="49"/>
      <c r="C1404" s="49"/>
      <c r="D1404" s="49"/>
      <c r="E1404" s="49"/>
    </row>
    <row r="1405" spans="1:5" ht="10.5" customHeight="1" x14ac:dyDescent="0.3">
      <c r="A1405" s="48">
        <f t="shared" si="23"/>
        <v>1404</v>
      </c>
      <c r="B1405" s="49"/>
      <c r="C1405" s="49"/>
      <c r="D1405" s="49"/>
      <c r="E1405" s="49"/>
    </row>
    <row r="1406" spans="1:5" ht="10.5" customHeight="1" x14ac:dyDescent="0.3">
      <c r="A1406" s="48">
        <f t="shared" si="23"/>
        <v>1405</v>
      </c>
      <c r="B1406" s="49"/>
      <c r="C1406" s="49"/>
      <c r="D1406" s="49"/>
      <c r="E1406" s="49"/>
    </row>
    <row r="1407" spans="1:5" ht="10.5" customHeight="1" x14ac:dyDescent="0.3">
      <c r="A1407" s="48">
        <f t="shared" si="23"/>
        <v>1406</v>
      </c>
      <c r="B1407" s="49"/>
      <c r="C1407" s="49"/>
      <c r="D1407" s="49"/>
      <c r="E1407" s="49"/>
    </row>
    <row r="1408" spans="1:5" ht="10.5" customHeight="1" x14ac:dyDescent="0.3">
      <c r="A1408" s="48">
        <f t="shared" si="23"/>
        <v>1407</v>
      </c>
      <c r="B1408" s="49"/>
      <c r="C1408" s="49"/>
      <c r="D1408" s="49"/>
      <c r="E1408" s="49"/>
    </row>
    <row r="1409" spans="1:5" ht="10.5" customHeight="1" x14ac:dyDescent="0.3">
      <c r="A1409" s="48">
        <f t="shared" si="23"/>
        <v>1408</v>
      </c>
      <c r="B1409" s="49"/>
      <c r="C1409" s="49"/>
      <c r="D1409" s="49"/>
      <c r="E1409" s="49"/>
    </row>
    <row r="1410" spans="1:5" ht="10.5" customHeight="1" x14ac:dyDescent="0.3">
      <c r="A1410" s="48">
        <f t="shared" si="23"/>
        <v>1409</v>
      </c>
      <c r="B1410" s="49"/>
      <c r="C1410" s="49"/>
      <c r="D1410" s="49"/>
      <c r="E1410" s="49"/>
    </row>
    <row r="1411" spans="1:5" ht="10.5" customHeight="1" x14ac:dyDescent="0.3">
      <c r="A1411" s="48">
        <f t="shared" ref="A1411" si="24">A1410+1</f>
        <v>1410</v>
      </c>
      <c r="B1411" s="49"/>
      <c r="C1411" s="49"/>
      <c r="D1411" s="49"/>
      <c r="E1411" s="49"/>
    </row>
  </sheetData>
  <sheetProtection algorithmName="SHA-512" hashValue="nX98/T+e7f7nyUgCovIyBGkC1XjTacPnBCzwha6A0O9mS9BtCaX7JXI6eLkPiE2Z3YT1sK0QQOfoF7HEjBW1ew==" saltValue="PCplBpvR180HeNkpXps53A==" spinCount="100000" sheet="1" objects="1" scenarios="1"/>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Order</vt:lpstr>
      <vt:lpstr>High-language applications</vt:lpstr>
      <vt:lpstr>Excel applications 1</vt:lpstr>
      <vt:lpstr>Excel applications 2</vt:lpstr>
      <vt:lpstr>T</vt:lpstr>
      <vt:lpstr>'Excel applications 1'!Druckbereich</vt:lpstr>
      <vt:lpstr>'Excel applications 2'!Druckbereich</vt:lpstr>
      <vt:lpstr>'High-language applications'!Druckbereich</vt:lpstr>
      <vt:lpstr>Order!Druckbereich</vt:lpstr>
    </vt:vector>
  </TitlesOfParts>
  <Company>Zeller Consulting Suisse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Zeller Marin</dc:creator>
  <cp:lastModifiedBy>Marin Zeller</cp:lastModifiedBy>
  <cp:lastPrinted>2025-12-29T04:23:00Z</cp:lastPrinted>
  <dcterms:created xsi:type="dcterms:W3CDTF">1998-04-12T06:58:43Z</dcterms:created>
  <dcterms:modified xsi:type="dcterms:W3CDTF">2026-01-06T02:50:00Z</dcterms:modified>
</cp:coreProperties>
</file>